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drawings/drawing6.xml" ContentType="application/vnd.openxmlformats-officedocument.drawing+xml"/>
  <Override PartName="/xl/comments8.xml" ContentType="application/vnd.openxmlformats-officedocument.spreadsheetml.comments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1600" windowHeight="11880" tabRatio="888"/>
  </bookViews>
  <sheets>
    <sheet name="기준년도설정" sheetId="48" r:id="rId1"/>
    <sheet name="exptE-FD-H_pc_od_zone_O_YYMMDD" sheetId="61" r:id="rId2"/>
    <sheet name="exptE-FD-H_pc_od_zone_D_YYMMDD" sheetId="62" r:id="rId3"/>
    <sheet name="exptE-FD-H_bus_od_zone_O_YYMMDD" sheetId="63" r:id="rId4"/>
    <sheet name="exptE-FD-H_bus_od_zone_D_YYMMDD" sheetId="64" r:id="rId5"/>
    <sheet name="exptE-FD-F_fod_zone_O_YYMMDD" sheetId="65" r:id="rId6"/>
    <sheet name="exptE-FD-F_fod_zone_D_YYMMDD" sheetId="66" r:id="rId7"/>
    <sheet name="exptD-FD-H_pc_od_zone_O_YYMMDD" sheetId="67" r:id="rId8"/>
    <sheet name="exptD-FD-H_pc_od_zone_D_YYMMDD" sheetId="68" r:id="rId9"/>
    <sheet name="exptD-FD-H_bus_od_zone_O_YYMMDD" sheetId="69" r:id="rId10"/>
    <sheet name="exptD-FD-H_bus_od_zone_D_YYMMDD" sheetId="70" r:id="rId11"/>
    <sheet name="exptD-FD-F_fod_zone_O_YYMMDD" sheetId="71" r:id="rId12"/>
    <sheet name="exptD-FD-F_fod_zone_D_YYMMDD" sheetId="72" r:id="rId13"/>
    <sheet name="exptC-FD-H_pc_od_zone_O_YYMMDD" sheetId="73" r:id="rId14"/>
    <sheet name="exptC-FD-H_pc_od_zone_D_YYMMDD" sheetId="74" r:id="rId15"/>
    <sheet name="exptC-FD-H_bus_od_zone_O_YYMMDD" sheetId="75" r:id="rId16"/>
    <sheet name="exptC-FD-H_bus_od_zone_D_YYMMDD" sheetId="76" r:id="rId17"/>
    <sheet name="exptC-FD-F_fod_zone_O_YYMMDD" sheetId="77" r:id="rId18"/>
    <sheet name="exptC-FD-F_fod_zone_D_YYMMDD" sheetId="78" r:id="rId19"/>
    <sheet name="exptB-FD-H_pc_od_zone_O_YYMMDD" sheetId="79" r:id="rId20"/>
    <sheet name="exptB-FD-H_pc_od_zone_D_YYMMDD" sheetId="80" r:id="rId21"/>
    <sheet name="exptB-FD-H_bus_od_zone_O_YYMMDD" sheetId="81" r:id="rId22"/>
    <sheet name="exptB-FD-H_bus_od_zone_D_YYMMDD" sheetId="82" r:id="rId23"/>
    <sheet name="exptB-FD-F_fod_zone_O_YYMMDD" sheetId="83" r:id="rId24"/>
    <sheet name="exptB-FD-F_fod_zone_D_YYMMDD" sheetId="84" r:id="rId25"/>
    <sheet name="exptA-FD-H_pc_od_zone_O_YYMMDD" sheetId="85" r:id="rId26"/>
    <sheet name="exptA-FD-H_pc_od_zone_D_YYMMDD" sheetId="86" r:id="rId27"/>
    <sheet name="exptA-FD-H_bus_od_zone_O_YYMMDD" sheetId="87" r:id="rId28"/>
    <sheet name="exptA-FD-H_bus_od_zone_D_YYMMDD" sheetId="88" r:id="rId29"/>
    <sheet name="exptA-FD-F_fod_zone_O_YYMMDD" sheetId="89" r:id="rId30"/>
    <sheet name="exptA-FD-F_fod_zone_D_YYMMDD" sheetId="90" r:id="rId31"/>
    <sheet name="NON-FD-H_pc_od_zone_O_YYMMDD" sheetId="41" r:id="rId32"/>
    <sheet name="NON-FD-H_pc_od_zone_D_YYMMDD" sheetId="42" r:id="rId33"/>
    <sheet name="NON-FD-H_bus_od_zone_O_YYMMDD" sheetId="43" r:id="rId34"/>
    <sheet name="NON-FD-H_bus_od_zone_D_YYMMDD" sheetId="44" r:id="rId35"/>
    <sheet name="NON-FD-F_fod_zone_O_YYMMDD " sheetId="45" r:id="rId36"/>
    <sheet name="NON-FD-F_fod_zone_D_YYMMDD" sheetId="46" r:id="rId37"/>
    <sheet name="onlyA-FD-H_pc_od_zone_O_YYMMDD" sheetId="23" r:id="rId38"/>
    <sheet name="onlyA-FD-H_pc_od_zone_D_YYMMDD" sheetId="24" r:id="rId39"/>
    <sheet name="onlyA-FD-H_bus_od_zone_O_YYMMDD" sheetId="25" r:id="rId40"/>
    <sheet name="onlyA-FD-H_bus_od_zone_D_YYMMDD" sheetId="26" r:id="rId41"/>
    <sheet name="onlyA-FD-F_fod_zone_O_YYMMDD" sheetId="27" r:id="rId42"/>
    <sheet name="onlyA-FD-F_fod_zone_D_YYMMDD" sheetId="28" r:id="rId43"/>
    <sheet name="onlyB-FD-H_pc_od_zone_O_YYMMDD" sheetId="29" r:id="rId44"/>
    <sheet name="onlyB-FD-H_pc_od_zone_D_YYMMDD" sheetId="30" r:id="rId45"/>
    <sheet name="onlyB-FD-H_bus_od_zone_O_YYMMDD" sheetId="31" r:id="rId46"/>
    <sheet name="onlyB-FD-H_bus_od_zone_D_YYMMDD" sheetId="32" r:id="rId47"/>
    <sheet name="onlyB-FD-F_fod_zone_O_YYMMDD" sheetId="33" r:id="rId48"/>
    <sheet name="onlyB-FD-F_fod_zone_D_YYMMDD" sheetId="34" r:id="rId49"/>
    <sheet name="onlyC-FD-H_pc_od_zone_O_YYMMDD" sheetId="35" r:id="rId50"/>
    <sheet name="onlyC-FD-H_pc_od_zone_D_YYMMDD" sheetId="36" r:id="rId51"/>
    <sheet name="onlyC-FD-H_bus_od_zone_O_YYMMDD" sheetId="37" r:id="rId52"/>
    <sheet name="onlyC-FD-H_bus_od_zone_D_YYMMDD" sheetId="38" r:id="rId53"/>
    <sheet name="onlyC-FD-F_fod_zone_O_YYMMDD" sheetId="39" r:id="rId54"/>
    <sheet name="onlyC-FD-F_fod_zone_D_YYMMDD" sheetId="40" r:id="rId55"/>
    <sheet name="onlyD-FD-H_pc_od_zone_O_YYMMDD" sheetId="49" r:id="rId56"/>
    <sheet name="onlyD-FD-H_pc_od_zone_D_YYMMDD" sheetId="50" r:id="rId57"/>
    <sheet name="onlyD-FD-H_bus_od_zone_O_YYMMDD" sheetId="51" r:id="rId58"/>
    <sheet name="onlyD-FD-H_bus_od_zone_D_YYMMDD" sheetId="52" r:id="rId59"/>
    <sheet name="onlyD-FD-F_fod_zone_O_YYMMDD" sheetId="53" r:id="rId60"/>
    <sheet name="onlyD-FD-F_fod_zone_D_YYMMDD" sheetId="54" r:id="rId61"/>
    <sheet name="onlyE-FD-H_pc_od_zone_O_YYMMDD" sheetId="55" r:id="rId62"/>
    <sheet name="onlyE-FD-H_pc_od_zone_D_YYMMDD" sheetId="56" r:id="rId63"/>
    <sheet name="onlyE-FD-H_bus_od_zone_O_YYMMDD" sheetId="57" r:id="rId64"/>
    <sheet name="onlyE-FD-H_bus_od_zone_D_YYMMDD" sheetId="58" r:id="rId65"/>
    <sheet name="onlyE-FD-F_fod_zone_O_YYMMDD " sheetId="59" r:id="rId66"/>
    <sheet name="onlyE-FD-F_fod_zone_D_YYMMDD" sheetId="60" r:id="rId67"/>
    <sheet name="ALL-FD-H_pc_od_zone_O_YYMMDD" sheetId="16" r:id="rId68"/>
    <sheet name="ALL-FD-H_pc_od_zone_D_YYMMDD" sheetId="17" r:id="rId69"/>
    <sheet name="ALL-FD-H_bus_od_zone_O_YYMMDD" sheetId="18" r:id="rId70"/>
    <sheet name="ALL-FD-H_bus_od_zone_D_YYMMDD" sheetId="19" r:id="rId71"/>
    <sheet name="ALL-FD-F_fod_zone_O_YYMMDD" sheetId="20" r:id="rId72"/>
    <sheet name="ALL-FD-F_fod_zone_D_YYMMDD" sheetId="21" r:id="rId73"/>
    <sheet name="E.관광문화단지(849301)_수정" sheetId="15" r:id="rId74"/>
    <sheet name="D.cj라이브시티(849201)_수정" sheetId="14" r:id="rId75"/>
    <sheet name="C.장항공공주택지구(849992)" sheetId="13" r:id="rId76"/>
    <sheet name="B.고양영상밸리(849991)_수정" sheetId="12" r:id="rId77"/>
    <sheet name="A.일산테크노밸리(859991)_수정" sheetId="8" r:id="rId78"/>
    <sheet name="고양시_Modal_split" sheetId="9" r:id="rId79"/>
    <sheet name="고양시_재차인원" sheetId="10" r:id="rId80"/>
    <sheet name="KTDB_발생량도착량_증가율" sheetId="22" r:id="rId81"/>
    <sheet name="KTDB_TripDistribution_2035" sheetId="7" r:id="rId82"/>
    <sheet name="장항공공주택지구_통행량제외분" sheetId="47" r:id="rId83"/>
    <sheet name="S1" sheetId="3" r:id="rId84"/>
    <sheet name="일산테크노밸리" sheetId="1" r:id="rId85"/>
    <sheet name="고양영상밸리" sheetId="2" r:id="rId86"/>
    <sheet name="징힝공공주택지구" sheetId="4" r:id="rId87"/>
    <sheet name="cj라이브시티" sheetId="5" r:id="rId88"/>
    <sheet name="관광문화단지" sheetId="6" r:id="rId89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I140" i="8" l="1"/>
  <c r="EH140" i="8"/>
  <c r="EI91" i="8"/>
  <c r="EH91" i="8"/>
  <c r="EJ91" i="8"/>
  <c r="B2" i="77" s="1"/>
  <c r="EJ140" i="8"/>
  <c r="B2" i="84"/>
  <c r="A2" i="90"/>
  <c r="A2" i="89"/>
  <c r="C2" i="88"/>
  <c r="A2" i="88"/>
  <c r="C2" i="87"/>
  <c r="A2" i="87"/>
  <c r="C2" i="86"/>
  <c r="A2" i="86"/>
  <c r="C2" i="85"/>
  <c r="A2" i="85"/>
  <c r="A2" i="84"/>
  <c r="A2" i="83"/>
  <c r="C2" i="82"/>
  <c r="B2" i="82"/>
  <c r="A2" i="82"/>
  <c r="C2" i="81"/>
  <c r="B2" i="81"/>
  <c r="A2" i="81"/>
  <c r="C2" i="80"/>
  <c r="B2" i="80"/>
  <c r="A2" i="80"/>
  <c r="C2" i="79"/>
  <c r="B2" i="79"/>
  <c r="A2" i="79"/>
  <c r="B2" i="78"/>
  <c r="A2" i="78"/>
  <c r="A2" i="77"/>
  <c r="C2" i="76"/>
  <c r="B2" i="76"/>
  <c r="A2" i="76"/>
  <c r="C2" i="75"/>
  <c r="B2" i="75"/>
  <c r="A2" i="75"/>
  <c r="C2" i="74"/>
  <c r="B2" i="74"/>
  <c r="A2" i="74"/>
  <c r="C2" i="73"/>
  <c r="B2" i="73"/>
  <c r="A2" i="73"/>
  <c r="B2" i="72"/>
  <c r="A2" i="72"/>
  <c r="A2" i="71"/>
  <c r="C2" i="70"/>
  <c r="B2" i="70"/>
  <c r="A2" i="70"/>
  <c r="C2" i="69"/>
  <c r="B2" i="69"/>
  <c r="A2" i="69"/>
  <c r="C2" i="68"/>
  <c r="B2" i="68"/>
  <c r="A2" i="68"/>
  <c r="C2" i="67"/>
  <c r="B2" i="67"/>
  <c r="A2" i="67"/>
  <c r="B2" i="66"/>
  <c r="A2" i="66"/>
  <c r="A2" i="65"/>
  <c r="C2" i="64"/>
  <c r="B2" i="64"/>
  <c r="A2" i="64"/>
  <c r="C2" i="63"/>
  <c r="B2" i="63"/>
  <c r="A2" i="63"/>
  <c r="C2" i="62"/>
  <c r="B2" i="62"/>
  <c r="A2" i="62"/>
  <c r="C2" i="61"/>
  <c r="B2" i="61"/>
  <c r="A2" i="61"/>
  <c r="B2" i="65" l="1"/>
  <c r="B2" i="83"/>
  <c r="B2" i="71"/>
  <c r="EI138" i="8"/>
  <c r="EI137" i="8"/>
  <c r="EI136" i="8"/>
  <c r="EI135" i="8"/>
  <c r="EI134" i="8"/>
  <c r="EI133" i="8"/>
  <c r="EI132" i="8"/>
  <c r="EI131" i="8"/>
  <c r="EI130" i="8"/>
  <c r="EI129" i="8"/>
  <c r="EI128" i="8"/>
  <c r="EI127" i="8"/>
  <c r="EI126" i="8"/>
  <c r="EI125" i="8"/>
  <c r="EI124" i="8"/>
  <c r="EI123" i="8"/>
  <c r="EI122" i="8"/>
  <c r="EI121" i="8"/>
  <c r="EI120" i="8"/>
  <c r="EI119" i="8"/>
  <c r="EI118" i="8"/>
  <c r="EI117" i="8"/>
  <c r="EI116" i="8"/>
  <c r="EI115" i="8"/>
  <c r="EI114" i="8"/>
  <c r="EI113" i="8"/>
  <c r="EI112" i="8"/>
  <c r="EI111" i="8"/>
  <c r="EI110" i="8"/>
  <c r="EI109" i="8"/>
  <c r="EI108" i="8"/>
  <c r="EI107" i="8"/>
  <c r="EI106" i="8"/>
  <c r="EI105" i="8"/>
  <c r="EI104" i="8"/>
  <c r="EI103" i="8"/>
  <c r="EI102" i="8"/>
  <c r="EI101" i="8"/>
  <c r="EI100" i="8"/>
  <c r="EI99" i="8"/>
  <c r="EI98" i="8"/>
  <c r="EI97" i="8"/>
  <c r="EI96" i="8"/>
  <c r="EI95" i="8"/>
  <c r="EI94" i="8"/>
  <c r="EH138" i="8"/>
  <c r="EH137" i="8"/>
  <c r="EH136" i="8"/>
  <c r="EH135" i="8"/>
  <c r="EH134" i="8"/>
  <c r="EH133" i="8"/>
  <c r="EH132" i="8"/>
  <c r="EH131" i="8"/>
  <c r="EH130" i="8"/>
  <c r="EH129" i="8"/>
  <c r="EH128" i="8"/>
  <c r="EH127" i="8"/>
  <c r="EH126" i="8"/>
  <c r="EH125" i="8"/>
  <c r="EH124" i="8"/>
  <c r="EH123" i="8"/>
  <c r="EH122" i="8"/>
  <c r="EH121" i="8"/>
  <c r="EH120" i="8"/>
  <c r="EH119" i="8"/>
  <c r="EH118" i="8"/>
  <c r="EH117" i="8"/>
  <c r="EH116" i="8"/>
  <c r="EH115" i="8"/>
  <c r="EH114" i="8"/>
  <c r="EH113" i="8"/>
  <c r="EH112" i="8"/>
  <c r="EH111" i="8"/>
  <c r="EH110" i="8"/>
  <c r="EH109" i="8"/>
  <c r="EH108" i="8"/>
  <c r="EH107" i="8"/>
  <c r="EH106" i="8"/>
  <c r="EH105" i="8"/>
  <c r="EH104" i="8"/>
  <c r="EH103" i="8"/>
  <c r="EH102" i="8"/>
  <c r="EH101" i="8"/>
  <c r="EH100" i="8"/>
  <c r="EH99" i="8"/>
  <c r="EH98" i="8"/>
  <c r="EH97" i="8"/>
  <c r="EH96" i="8"/>
  <c r="EH95" i="8"/>
  <c r="EH94" i="8"/>
  <c r="EI89" i="8"/>
  <c r="EI88" i="8"/>
  <c r="EI87" i="8"/>
  <c r="EI86" i="8"/>
  <c r="EI85" i="8"/>
  <c r="EI84" i="8"/>
  <c r="EI83" i="8"/>
  <c r="EI82" i="8"/>
  <c r="EI81" i="8"/>
  <c r="EI80" i="8"/>
  <c r="EI79" i="8"/>
  <c r="EI78" i="8"/>
  <c r="EI77" i="8"/>
  <c r="EI76" i="8"/>
  <c r="EI75" i="8"/>
  <c r="EI74" i="8"/>
  <c r="EI73" i="8"/>
  <c r="EI72" i="8"/>
  <c r="EI71" i="8"/>
  <c r="EI70" i="8"/>
  <c r="EI69" i="8"/>
  <c r="EI68" i="8"/>
  <c r="EI67" i="8"/>
  <c r="EI66" i="8"/>
  <c r="EI65" i="8"/>
  <c r="EI64" i="8"/>
  <c r="EI63" i="8"/>
  <c r="EI62" i="8"/>
  <c r="EI61" i="8"/>
  <c r="EI60" i="8"/>
  <c r="EI59" i="8"/>
  <c r="EI58" i="8"/>
  <c r="EI57" i="8"/>
  <c r="EI56" i="8"/>
  <c r="EI55" i="8"/>
  <c r="EI54" i="8"/>
  <c r="EI53" i="8"/>
  <c r="EI52" i="8"/>
  <c r="EI51" i="8"/>
  <c r="EI50" i="8"/>
  <c r="EI49" i="8"/>
  <c r="EI48" i="8"/>
  <c r="EI47" i="8"/>
  <c r="EI46" i="8"/>
  <c r="EI45" i="8"/>
  <c r="EH89" i="8"/>
  <c r="EH88" i="8"/>
  <c r="EH87" i="8"/>
  <c r="EH86" i="8"/>
  <c r="EH85" i="8"/>
  <c r="EH84" i="8"/>
  <c r="EH83" i="8"/>
  <c r="EH82" i="8"/>
  <c r="EH81" i="8"/>
  <c r="EH80" i="8"/>
  <c r="EH79" i="8"/>
  <c r="EH78" i="8"/>
  <c r="EH77" i="8"/>
  <c r="EH76" i="8"/>
  <c r="EH75" i="8"/>
  <c r="EH74" i="8"/>
  <c r="EH73" i="8"/>
  <c r="EH72" i="8"/>
  <c r="EH71" i="8"/>
  <c r="EH70" i="8"/>
  <c r="EH69" i="8"/>
  <c r="EH68" i="8"/>
  <c r="EH67" i="8"/>
  <c r="EH66" i="8"/>
  <c r="EH65" i="8"/>
  <c r="EH64" i="8"/>
  <c r="EH63" i="8"/>
  <c r="EH62" i="8"/>
  <c r="EH61" i="8"/>
  <c r="EH60" i="8"/>
  <c r="EH59" i="8"/>
  <c r="EH58" i="8"/>
  <c r="EH57" i="8"/>
  <c r="EH56" i="8"/>
  <c r="EH55" i="8"/>
  <c r="EH54" i="8"/>
  <c r="EH53" i="8"/>
  <c r="EH52" i="8"/>
  <c r="EH51" i="8"/>
  <c r="EH50" i="8"/>
  <c r="EH49" i="8"/>
  <c r="EH48" i="8"/>
  <c r="EH47" i="8"/>
  <c r="EH46" i="8"/>
  <c r="EH45" i="8"/>
  <c r="H60" i="15" l="1"/>
  <c r="G60" i="15"/>
  <c r="F60" i="15"/>
  <c r="E60" i="15"/>
  <c r="D60" i="15"/>
  <c r="C60" i="15"/>
  <c r="H17" i="15"/>
  <c r="G17" i="15"/>
  <c r="F17" i="15"/>
  <c r="E17" i="15"/>
  <c r="D17" i="15"/>
  <c r="C17" i="15"/>
  <c r="H85" i="14"/>
  <c r="G85" i="14"/>
  <c r="F85" i="14"/>
  <c r="E85" i="14"/>
  <c r="D85" i="14"/>
  <c r="C85" i="14"/>
  <c r="H84" i="14"/>
  <c r="G84" i="14"/>
  <c r="F84" i="14"/>
  <c r="E84" i="14"/>
  <c r="D84" i="14"/>
  <c r="C84" i="14"/>
  <c r="H83" i="14"/>
  <c r="G83" i="14"/>
  <c r="F83" i="14"/>
  <c r="E83" i="14"/>
  <c r="D83" i="14"/>
  <c r="C83" i="14"/>
  <c r="H82" i="14"/>
  <c r="G82" i="14"/>
  <c r="F82" i="14"/>
  <c r="E82" i="14"/>
  <c r="D82" i="14"/>
  <c r="C82" i="14"/>
  <c r="H81" i="14"/>
  <c r="G81" i="14"/>
  <c r="F81" i="14"/>
  <c r="E81" i="14"/>
  <c r="D81" i="14"/>
  <c r="C81" i="14"/>
  <c r="H80" i="14"/>
  <c r="G80" i="14"/>
  <c r="F80" i="14"/>
  <c r="E80" i="14"/>
  <c r="D80" i="14"/>
  <c r="C80" i="14"/>
  <c r="H79" i="14"/>
  <c r="G79" i="14"/>
  <c r="F79" i="14"/>
  <c r="E79" i="14"/>
  <c r="D79" i="14"/>
  <c r="C79" i="14"/>
  <c r="H42" i="14"/>
  <c r="G42" i="14"/>
  <c r="F42" i="14"/>
  <c r="E42" i="14"/>
  <c r="D42" i="14"/>
  <c r="C42" i="14"/>
  <c r="H41" i="14"/>
  <c r="G41" i="14"/>
  <c r="F41" i="14"/>
  <c r="E41" i="14"/>
  <c r="D41" i="14"/>
  <c r="C41" i="14"/>
  <c r="H40" i="14"/>
  <c r="G40" i="14"/>
  <c r="F40" i="14"/>
  <c r="E40" i="14"/>
  <c r="D40" i="14"/>
  <c r="C40" i="14"/>
  <c r="H39" i="14"/>
  <c r="G39" i="14"/>
  <c r="F39" i="14"/>
  <c r="E39" i="14"/>
  <c r="D39" i="14"/>
  <c r="C39" i="14"/>
  <c r="H38" i="14"/>
  <c r="G38" i="14"/>
  <c r="F38" i="14"/>
  <c r="E38" i="14"/>
  <c r="D38" i="14"/>
  <c r="C38" i="14"/>
  <c r="H37" i="14"/>
  <c r="G37" i="14"/>
  <c r="F37" i="14"/>
  <c r="E37" i="14"/>
  <c r="D37" i="14"/>
  <c r="C37" i="14"/>
  <c r="H36" i="14"/>
  <c r="G36" i="14"/>
  <c r="F36" i="14"/>
  <c r="E36" i="14"/>
  <c r="D36" i="14"/>
  <c r="C36" i="14"/>
  <c r="H158" i="13"/>
  <c r="G158" i="13"/>
  <c r="F158" i="13"/>
  <c r="E158" i="13"/>
  <c r="D158" i="13"/>
  <c r="C158" i="13"/>
  <c r="H157" i="13"/>
  <c r="G157" i="13"/>
  <c r="F157" i="13"/>
  <c r="E157" i="13"/>
  <c r="D157" i="13"/>
  <c r="C157" i="13"/>
  <c r="H156" i="13"/>
  <c r="G156" i="13"/>
  <c r="F156" i="13"/>
  <c r="E156" i="13"/>
  <c r="D156" i="13"/>
  <c r="C156" i="13"/>
  <c r="H155" i="13"/>
  <c r="G155" i="13"/>
  <c r="F155" i="13"/>
  <c r="E155" i="13"/>
  <c r="D155" i="13"/>
  <c r="C155" i="13"/>
  <c r="H154" i="13"/>
  <c r="G154" i="13"/>
  <c r="F154" i="13"/>
  <c r="E154" i="13"/>
  <c r="D154" i="13"/>
  <c r="C154" i="13"/>
  <c r="H153" i="13"/>
  <c r="G153" i="13"/>
  <c r="F153" i="13"/>
  <c r="E153" i="13"/>
  <c r="D153" i="13"/>
  <c r="C153" i="13"/>
  <c r="H152" i="13"/>
  <c r="G152" i="13"/>
  <c r="F152" i="13"/>
  <c r="E152" i="13"/>
  <c r="D152" i="13"/>
  <c r="C152" i="13"/>
  <c r="H151" i="13"/>
  <c r="G151" i="13"/>
  <c r="F151" i="13"/>
  <c r="E151" i="13"/>
  <c r="D151" i="13"/>
  <c r="C151" i="13"/>
  <c r="H150" i="13"/>
  <c r="G150" i="13"/>
  <c r="F150" i="13"/>
  <c r="E150" i="13"/>
  <c r="D150" i="13"/>
  <c r="C150" i="13"/>
  <c r="H149" i="13"/>
  <c r="G149" i="13"/>
  <c r="F149" i="13"/>
  <c r="E149" i="13"/>
  <c r="D149" i="13"/>
  <c r="C149" i="13"/>
  <c r="H148" i="13"/>
  <c r="G148" i="13"/>
  <c r="F148" i="13"/>
  <c r="E148" i="13"/>
  <c r="D148" i="13"/>
  <c r="C148" i="13"/>
  <c r="H147" i="13"/>
  <c r="G147" i="13"/>
  <c r="F147" i="13"/>
  <c r="E147" i="13"/>
  <c r="D147" i="13"/>
  <c r="C147" i="13"/>
  <c r="H146" i="13"/>
  <c r="G146" i="13"/>
  <c r="F146" i="13"/>
  <c r="E146" i="13"/>
  <c r="D146" i="13"/>
  <c r="C146" i="13"/>
  <c r="H115" i="13"/>
  <c r="G115" i="13"/>
  <c r="F115" i="13"/>
  <c r="E115" i="13"/>
  <c r="D115" i="13"/>
  <c r="C115" i="13"/>
  <c r="H114" i="13"/>
  <c r="G114" i="13"/>
  <c r="F114" i="13"/>
  <c r="E114" i="13"/>
  <c r="D114" i="13"/>
  <c r="C114" i="13"/>
  <c r="H113" i="13"/>
  <c r="G113" i="13"/>
  <c r="F113" i="13"/>
  <c r="E113" i="13"/>
  <c r="D113" i="13"/>
  <c r="C113" i="13"/>
  <c r="H112" i="13"/>
  <c r="G112" i="13"/>
  <c r="F112" i="13"/>
  <c r="E112" i="13"/>
  <c r="D112" i="13"/>
  <c r="C112" i="13"/>
  <c r="H111" i="13"/>
  <c r="G111" i="13"/>
  <c r="F111" i="13"/>
  <c r="E111" i="13"/>
  <c r="D111" i="13"/>
  <c r="C111" i="13"/>
  <c r="H110" i="13"/>
  <c r="G110" i="13"/>
  <c r="F110" i="13"/>
  <c r="E110" i="13"/>
  <c r="D110" i="13"/>
  <c r="C110" i="13"/>
  <c r="H109" i="13"/>
  <c r="G109" i="13"/>
  <c r="F109" i="13"/>
  <c r="E109" i="13"/>
  <c r="D109" i="13"/>
  <c r="C109" i="13"/>
  <c r="H108" i="13"/>
  <c r="G108" i="13"/>
  <c r="F108" i="13"/>
  <c r="E108" i="13"/>
  <c r="D108" i="13"/>
  <c r="C108" i="13"/>
  <c r="H107" i="13"/>
  <c r="G107" i="13"/>
  <c r="F107" i="13"/>
  <c r="E107" i="13"/>
  <c r="D107" i="13"/>
  <c r="C107" i="13"/>
  <c r="H106" i="13"/>
  <c r="G106" i="13"/>
  <c r="F106" i="13"/>
  <c r="E106" i="13"/>
  <c r="D106" i="13"/>
  <c r="C106" i="13"/>
  <c r="H105" i="13"/>
  <c r="G105" i="13"/>
  <c r="F105" i="13"/>
  <c r="E105" i="13"/>
  <c r="D105" i="13"/>
  <c r="C105" i="13"/>
  <c r="H104" i="13"/>
  <c r="G104" i="13"/>
  <c r="F104" i="13"/>
  <c r="E104" i="13"/>
  <c r="D104" i="13"/>
  <c r="C104" i="13"/>
  <c r="H103" i="13"/>
  <c r="G103" i="13"/>
  <c r="F103" i="13"/>
  <c r="E103" i="13"/>
  <c r="D103" i="13"/>
  <c r="C103" i="13"/>
  <c r="AG196" i="8"/>
  <c r="AG195" i="8"/>
  <c r="AG194" i="8"/>
  <c r="AG193" i="8"/>
  <c r="AG192" i="8"/>
  <c r="AG191" i="8"/>
  <c r="AG186" i="8"/>
  <c r="AG185" i="8"/>
  <c r="AG184" i="8"/>
  <c r="AG183" i="8"/>
  <c r="AG182" i="8"/>
  <c r="AG181" i="8"/>
  <c r="X196" i="8"/>
  <c r="X195" i="8"/>
  <c r="X194" i="8"/>
  <c r="X193" i="8"/>
  <c r="X192" i="8"/>
  <c r="X191" i="8"/>
  <c r="X186" i="8"/>
  <c r="X185" i="8"/>
  <c r="X184" i="8"/>
  <c r="X183" i="8"/>
  <c r="X182" i="8"/>
  <c r="X181" i="8"/>
  <c r="H40" i="12" l="1"/>
  <c r="H39" i="12"/>
  <c r="H38" i="12"/>
  <c r="H37" i="12"/>
  <c r="H36" i="12"/>
  <c r="H35" i="12"/>
  <c r="H34" i="12"/>
  <c r="H33" i="12"/>
  <c r="H32" i="12"/>
  <c r="H31" i="12"/>
  <c r="H30" i="12"/>
  <c r="H29" i="12"/>
  <c r="F40" i="12"/>
  <c r="F39" i="12"/>
  <c r="F38" i="12"/>
  <c r="F37" i="12"/>
  <c r="F36" i="12"/>
  <c r="F35" i="12"/>
  <c r="F34" i="12"/>
  <c r="F33" i="12"/>
  <c r="F32" i="12"/>
  <c r="F31" i="12"/>
  <c r="F30" i="12"/>
  <c r="F29" i="12"/>
  <c r="D40" i="12"/>
  <c r="D39" i="12"/>
  <c r="D38" i="12"/>
  <c r="D37" i="12"/>
  <c r="D36" i="12"/>
  <c r="D35" i="12"/>
  <c r="D34" i="12"/>
  <c r="D33" i="12"/>
  <c r="D32" i="12"/>
  <c r="D31" i="12"/>
  <c r="D30" i="12"/>
  <c r="D29" i="12"/>
  <c r="G40" i="12"/>
  <c r="G39" i="12"/>
  <c r="G38" i="12"/>
  <c r="G37" i="12"/>
  <c r="G36" i="12"/>
  <c r="G35" i="12"/>
  <c r="G34" i="12"/>
  <c r="G33" i="12"/>
  <c r="G32" i="12"/>
  <c r="G31" i="12"/>
  <c r="G30" i="12"/>
  <c r="G29" i="12"/>
  <c r="E40" i="12"/>
  <c r="E39" i="12"/>
  <c r="E38" i="12"/>
  <c r="E37" i="12"/>
  <c r="E36" i="12"/>
  <c r="E35" i="12"/>
  <c r="E34" i="12"/>
  <c r="E33" i="12"/>
  <c r="E32" i="12"/>
  <c r="E31" i="12"/>
  <c r="E30" i="12"/>
  <c r="E29" i="12"/>
  <c r="C40" i="12"/>
  <c r="C39" i="12"/>
  <c r="C38" i="12"/>
  <c r="C37" i="12"/>
  <c r="C36" i="12"/>
  <c r="C35" i="12"/>
  <c r="C34" i="12"/>
  <c r="C33" i="12"/>
  <c r="C32" i="12"/>
  <c r="C31" i="12"/>
  <c r="C30" i="12"/>
  <c r="C29" i="12"/>
  <c r="H106" i="8"/>
  <c r="G106" i="8"/>
  <c r="F106" i="8"/>
  <c r="E106" i="8"/>
  <c r="D106" i="8"/>
  <c r="C106" i="8"/>
  <c r="H105" i="8"/>
  <c r="G105" i="8"/>
  <c r="F105" i="8"/>
  <c r="E105" i="8"/>
  <c r="D105" i="8"/>
  <c r="C105" i="8"/>
  <c r="H104" i="8"/>
  <c r="G104" i="8"/>
  <c r="F104" i="8"/>
  <c r="E104" i="8"/>
  <c r="D104" i="8"/>
  <c r="C104" i="8"/>
  <c r="H103" i="8"/>
  <c r="G103" i="8"/>
  <c r="F103" i="8"/>
  <c r="E103" i="8"/>
  <c r="D103" i="8"/>
  <c r="C103" i="8"/>
  <c r="H102" i="8"/>
  <c r="G102" i="8"/>
  <c r="F102" i="8"/>
  <c r="E102" i="8"/>
  <c r="D102" i="8"/>
  <c r="C102" i="8"/>
  <c r="H101" i="8"/>
  <c r="G101" i="8"/>
  <c r="F101" i="8"/>
  <c r="E101" i="8"/>
  <c r="D101" i="8"/>
  <c r="C101" i="8"/>
  <c r="H100" i="8"/>
  <c r="G100" i="8"/>
  <c r="F100" i="8"/>
  <c r="E100" i="8"/>
  <c r="D100" i="8"/>
  <c r="C100" i="8"/>
  <c r="H99" i="8"/>
  <c r="G99" i="8"/>
  <c r="F99" i="8"/>
  <c r="E99" i="8"/>
  <c r="D99" i="8"/>
  <c r="C99" i="8"/>
  <c r="H98" i="8"/>
  <c r="G98" i="8"/>
  <c r="F98" i="8"/>
  <c r="E98" i="8"/>
  <c r="D98" i="8"/>
  <c r="C98" i="8"/>
  <c r="H97" i="8"/>
  <c r="G97" i="8"/>
  <c r="F97" i="8"/>
  <c r="E97" i="8"/>
  <c r="D97" i="8"/>
  <c r="C97" i="8"/>
  <c r="H96" i="8"/>
  <c r="G96" i="8"/>
  <c r="F96" i="8"/>
  <c r="E96" i="8"/>
  <c r="D96" i="8"/>
  <c r="C96" i="8"/>
  <c r="H95" i="8"/>
  <c r="G95" i="8"/>
  <c r="F95" i="8"/>
  <c r="E95" i="8"/>
  <c r="D95" i="8"/>
  <c r="C95" i="8"/>
  <c r="H56" i="8"/>
  <c r="G56" i="8"/>
  <c r="F56" i="8"/>
  <c r="E56" i="8"/>
  <c r="D56" i="8"/>
  <c r="C56" i="8"/>
  <c r="H55" i="8"/>
  <c r="G55" i="8"/>
  <c r="F55" i="8"/>
  <c r="E55" i="8"/>
  <c r="D55" i="8"/>
  <c r="C55" i="8"/>
  <c r="H54" i="8"/>
  <c r="G54" i="8"/>
  <c r="F54" i="8"/>
  <c r="E54" i="8"/>
  <c r="D54" i="8"/>
  <c r="C54" i="8"/>
  <c r="H53" i="8"/>
  <c r="G53" i="8"/>
  <c r="F53" i="8"/>
  <c r="E53" i="8"/>
  <c r="D53" i="8"/>
  <c r="C53" i="8"/>
  <c r="H52" i="8"/>
  <c r="G52" i="8"/>
  <c r="F52" i="8"/>
  <c r="E52" i="8"/>
  <c r="D52" i="8"/>
  <c r="C52" i="8"/>
  <c r="H51" i="8"/>
  <c r="G51" i="8"/>
  <c r="F51" i="8"/>
  <c r="E51" i="8"/>
  <c r="D51" i="8"/>
  <c r="C51" i="8"/>
  <c r="H50" i="8"/>
  <c r="G50" i="8"/>
  <c r="F50" i="8"/>
  <c r="E50" i="8"/>
  <c r="D50" i="8"/>
  <c r="C50" i="8"/>
  <c r="H49" i="8"/>
  <c r="G49" i="8"/>
  <c r="F49" i="8"/>
  <c r="E49" i="8"/>
  <c r="D49" i="8"/>
  <c r="C49" i="8"/>
  <c r="H48" i="8"/>
  <c r="G48" i="8"/>
  <c r="F48" i="8"/>
  <c r="E48" i="8"/>
  <c r="D48" i="8"/>
  <c r="C48" i="8"/>
  <c r="H47" i="8"/>
  <c r="G47" i="8"/>
  <c r="F47" i="8"/>
  <c r="E47" i="8"/>
  <c r="D47" i="8"/>
  <c r="C47" i="8"/>
  <c r="H46" i="8"/>
  <c r="G46" i="8"/>
  <c r="F46" i="8"/>
  <c r="E46" i="8"/>
  <c r="D46" i="8"/>
  <c r="C46" i="8"/>
  <c r="H45" i="8"/>
  <c r="G45" i="8"/>
  <c r="F45" i="8"/>
  <c r="E45" i="8"/>
  <c r="D45" i="8"/>
  <c r="C45" i="8"/>
  <c r="A2" i="60"/>
  <c r="A2" i="59"/>
  <c r="A2" i="58"/>
  <c r="A2" i="57"/>
  <c r="A2" i="56"/>
  <c r="A2" i="55"/>
  <c r="A2" i="54"/>
  <c r="A2" i="53"/>
  <c r="A2" i="52"/>
  <c r="A2" i="51"/>
  <c r="A2" i="50"/>
  <c r="A2" i="49"/>
  <c r="EV181" i="13"/>
  <c r="EV138" i="13"/>
  <c r="A2" i="21"/>
  <c r="A2" i="20"/>
  <c r="A2" i="19"/>
  <c r="A2" i="18"/>
  <c r="A2" i="17"/>
  <c r="A2" i="16"/>
  <c r="A2" i="40"/>
  <c r="A2" i="39"/>
  <c r="A2" i="38"/>
  <c r="A2" i="37"/>
  <c r="A2" i="36"/>
  <c r="A2" i="35"/>
  <c r="A2" i="34"/>
  <c r="A2" i="33"/>
  <c r="A2" i="32"/>
  <c r="A2" i="31"/>
  <c r="A2" i="30"/>
  <c r="A2" i="29"/>
  <c r="A2" i="28"/>
  <c r="A2" i="27"/>
  <c r="A2" i="26"/>
  <c r="A2" i="25"/>
  <c r="A2" i="24"/>
  <c r="A2" i="23"/>
  <c r="A2" i="46"/>
  <c r="A2" i="45"/>
  <c r="A2" i="44"/>
  <c r="A2" i="43"/>
  <c r="A2" i="42"/>
  <c r="A2" i="41"/>
  <c r="G8" i="47"/>
  <c r="F8" i="47"/>
  <c r="E8" i="47"/>
  <c r="E6" i="47" s="1"/>
  <c r="E12" i="47" s="1"/>
  <c r="D8" i="47"/>
  <c r="D6" i="47" s="1"/>
  <c r="D12" i="47" s="1"/>
  <c r="C8" i="47"/>
  <c r="C6" i="47" s="1"/>
  <c r="C12" i="47" s="1"/>
  <c r="B8" i="47"/>
  <c r="B6" i="47" s="1"/>
  <c r="B12" i="47" s="1"/>
  <c r="G6" i="47"/>
  <c r="G12" i="47" s="1"/>
  <c r="F6" i="47"/>
  <c r="F12" i="47" s="1"/>
  <c r="N13" i="47" l="1"/>
  <c r="N14" i="47" s="1"/>
  <c r="N15" i="47" s="1"/>
  <c r="N16" i="47" s="1"/>
  <c r="N17" i="47" s="1"/>
  <c r="E18" i="47"/>
  <c r="E16" i="47"/>
  <c r="E14" i="47"/>
  <c r="E17" i="47"/>
  <c r="E15" i="47"/>
  <c r="E13" i="47"/>
  <c r="O13" i="47"/>
  <c r="F17" i="47"/>
  <c r="F15" i="47"/>
  <c r="F13" i="47"/>
  <c r="F18" i="47"/>
  <c r="F16" i="47"/>
  <c r="F14" i="47"/>
  <c r="G18" i="47"/>
  <c r="G16" i="47"/>
  <c r="G14" i="47"/>
  <c r="G15" i="47"/>
  <c r="G13" i="47"/>
  <c r="G17" i="47"/>
  <c r="P13" i="47"/>
  <c r="C17" i="47"/>
  <c r="C15" i="47"/>
  <c r="C13" i="47"/>
  <c r="L13" i="47"/>
  <c r="L14" i="47" s="1"/>
  <c r="L15" i="47" s="1"/>
  <c r="L16" i="47" s="1"/>
  <c r="L17" i="47" s="1"/>
  <c r="C18" i="47"/>
  <c r="C16" i="47"/>
  <c r="C14" i="47"/>
  <c r="B17" i="47"/>
  <c r="B15" i="47"/>
  <c r="B13" i="47"/>
  <c r="K13" i="47" s="1"/>
  <c r="K14" i="47" s="1"/>
  <c r="K15" i="47" s="1"/>
  <c r="K16" i="47" s="1"/>
  <c r="K17" i="47" s="1"/>
  <c r="K18" i="47" s="1"/>
  <c r="B18" i="47"/>
  <c r="B16" i="47"/>
  <c r="B14" i="47"/>
  <c r="D16" i="47"/>
  <c r="D17" i="47"/>
  <c r="D15" i="47"/>
  <c r="D18" i="47"/>
  <c r="D14" i="47"/>
  <c r="D13" i="47"/>
  <c r="M13" i="47" s="1"/>
  <c r="M14" i="47" s="1"/>
  <c r="M15" i="47" s="1"/>
  <c r="M16" i="47" s="1"/>
  <c r="M17" i="47" s="1"/>
  <c r="M18" i="47" s="1"/>
  <c r="L18" i="47" l="1"/>
  <c r="O14" i="47"/>
  <c r="O15" i="47" s="1"/>
  <c r="O16" i="47" s="1"/>
  <c r="O17" i="47" s="1"/>
  <c r="O18" i="47" s="1"/>
  <c r="N18" i="47"/>
  <c r="P14" i="47"/>
  <c r="P15" i="47" s="1"/>
  <c r="P16" i="47" s="1"/>
  <c r="P17" i="47" s="1"/>
  <c r="P18" i="47" s="1"/>
  <c r="EG139" i="8" l="1"/>
  <c r="Q39" i="8" l="1"/>
  <c r="Q38" i="8"/>
  <c r="Q37" i="8"/>
  <c r="Q36" i="8"/>
  <c r="Q35" i="8"/>
  <c r="Q34" i="8"/>
  <c r="Q33" i="8"/>
  <c r="Q32" i="8"/>
  <c r="Q31" i="8"/>
  <c r="Q30" i="8"/>
  <c r="Q29" i="8"/>
  <c r="Q28" i="8"/>
  <c r="N39" i="8"/>
  <c r="N38" i="8"/>
  <c r="N37" i="8"/>
  <c r="N36" i="8"/>
  <c r="N35" i="8"/>
  <c r="N34" i="8"/>
  <c r="N33" i="8"/>
  <c r="N32" i="8"/>
  <c r="N31" i="8"/>
  <c r="N30" i="8"/>
  <c r="N29" i="8"/>
  <c r="N28" i="8"/>
  <c r="X197" i="8" l="1"/>
  <c r="X187" i="8"/>
  <c r="EJ126" i="8" l="1"/>
  <c r="EJ125" i="8"/>
  <c r="EJ124" i="8"/>
  <c r="EJ123" i="8"/>
  <c r="EJ122" i="8"/>
  <c r="U187" i="8"/>
  <c r="V187" i="8"/>
  <c r="AV166" i="8"/>
  <c r="AT166" i="8" s="1"/>
  <c r="AM166" i="8"/>
  <c r="AO8" i="13"/>
  <c r="AS8" i="8"/>
  <c r="ET73" i="8" l="1"/>
  <c r="ET122" i="8"/>
  <c r="EJ73" i="8"/>
  <c r="ET123" i="8"/>
  <c r="ET74" i="8"/>
  <c r="EJ74" i="8"/>
  <c r="AG197" i="8"/>
  <c r="EJ121" i="8"/>
  <c r="EJ139" i="8" s="1"/>
  <c r="ET72" i="8"/>
  <c r="ET121" i="8"/>
  <c r="EJ72" i="8"/>
  <c r="AQ166" i="8"/>
  <c r="ET124" i="8"/>
  <c r="ET75" i="8"/>
  <c r="EJ75" i="8"/>
  <c r="ET77" i="8"/>
  <c r="ET126" i="8"/>
  <c r="EJ77" i="8"/>
  <c r="ET76" i="8"/>
  <c r="ET125" i="8"/>
  <c r="EJ76" i="8"/>
  <c r="AN166" i="8"/>
  <c r="AO166" i="8"/>
  <c r="AP166" i="8"/>
  <c r="AL166" i="8"/>
  <c r="AG187" i="8"/>
  <c r="AR166" i="8"/>
  <c r="AS166" i="8"/>
  <c r="B2" i="28" l="1"/>
  <c r="B2" i="21"/>
  <c r="EJ90" i="8"/>
  <c r="ET139" i="8"/>
  <c r="ET90" i="8"/>
  <c r="B2" i="20" l="1"/>
  <c r="B2" i="27"/>
  <c r="F14" i="14" l="1"/>
  <c r="E14" i="14"/>
  <c r="D14" i="14"/>
  <c r="F13" i="14"/>
  <c r="E13" i="14"/>
  <c r="D13" i="14"/>
  <c r="F12" i="14"/>
  <c r="E12" i="14"/>
  <c r="D12" i="14"/>
  <c r="F11" i="14"/>
  <c r="E11" i="14"/>
  <c r="D11" i="14"/>
  <c r="F10" i="14"/>
  <c r="E10" i="14"/>
  <c r="D10" i="14"/>
  <c r="F9" i="14"/>
  <c r="E9" i="14"/>
  <c r="D9" i="14"/>
  <c r="F8" i="14"/>
  <c r="E8" i="14"/>
  <c r="D8" i="14"/>
  <c r="FH85" i="14"/>
  <c r="FH84" i="14"/>
  <c r="FH83" i="14"/>
  <c r="FH82" i="14"/>
  <c r="FH81" i="14"/>
  <c r="FH80" i="14"/>
  <c r="J48" i="14" l="1"/>
  <c r="AU38" i="12" l="1"/>
  <c r="AT38" i="12"/>
  <c r="AS38" i="12"/>
  <c r="AR38" i="12"/>
  <c r="AQ38" i="12"/>
  <c r="AP38" i="12"/>
  <c r="AU37" i="12"/>
  <c r="AT37" i="12"/>
  <c r="AS37" i="12"/>
  <c r="AR37" i="12"/>
  <c r="AQ37" i="12"/>
  <c r="AP37" i="12"/>
  <c r="AU36" i="12"/>
  <c r="AT36" i="12"/>
  <c r="AS36" i="12"/>
  <c r="AR36" i="12"/>
  <c r="AQ36" i="12"/>
  <c r="AP36" i="12"/>
  <c r="AU35" i="12"/>
  <c r="AT35" i="12"/>
  <c r="AS35" i="12"/>
  <c r="AR35" i="12"/>
  <c r="AQ35" i="12"/>
  <c r="AP35" i="12"/>
  <c r="AU34" i="12"/>
  <c r="AT34" i="12"/>
  <c r="AS34" i="12"/>
  <c r="AR34" i="12"/>
  <c r="AQ34" i="12"/>
  <c r="AP34" i="12"/>
  <c r="AU33" i="12"/>
  <c r="AT33" i="12"/>
  <c r="AS33" i="12"/>
  <c r="AR33" i="12"/>
  <c r="AQ33" i="12"/>
  <c r="AP33" i="12"/>
  <c r="AU32" i="12"/>
  <c r="AT32" i="12"/>
  <c r="AS32" i="12"/>
  <c r="AR32" i="12"/>
  <c r="AQ32" i="12"/>
  <c r="AP32" i="12"/>
  <c r="AU31" i="12"/>
  <c r="AT31" i="12"/>
  <c r="AS31" i="12"/>
  <c r="AR31" i="12"/>
  <c r="AQ31" i="12"/>
  <c r="AP31" i="12"/>
  <c r="AU30" i="12"/>
  <c r="AT30" i="12"/>
  <c r="AS30" i="12"/>
  <c r="AR30" i="12"/>
  <c r="AQ30" i="12"/>
  <c r="AP30" i="12"/>
  <c r="AU29" i="12"/>
  <c r="AT29" i="12"/>
  <c r="AS29" i="12"/>
  <c r="AR29" i="12"/>
  <c r="AQ29" i="12"/>
  <c r="AP29" i="12"/>
  <c r="AU28" i="12"/>
  <c r="AT28" i="12"/>
  <c r="AS28" i="12"/>
  <c r="AR28" i="12"/>
  <c r="AQ28" i="12"/>
  <c r="AP28" i="12"/>
  <c r="AU27" i="12"/>
  <c r="AT27" i="12"/>
  <c r="AS27" i="12"/>
  <c r="AR27" i="12"/>
  <c r="AQ27" i="12"/>
  <c r="AP27" i="12"/>
  <c r="AF38" i="12"/>
  <c r="AF37" i="12"/>
  <c r="AF36" i="12"/>
  <c r="AF35" i="12"/>
  <c r="AF34" i="12"/>
  <c r="AF33" i="12"/>
  <c r="AF32" i="12"/>
  <c r="AD38" i="12"/>
  <c r="AD37" i="12"/>
  <c r="AD36" i="12"/>
  <c r="AD35" i="12"/>
  <c r="AD34" i="12"/>
  <c r="AD33" i="12"/>
  <c r="AD32" i="12"/>
  <c r="AC38" i="12"/>
  <c r="AC37" i="12"/>
  <c r="AC36" i="12"/>
  <c r="AC35" i="12"/>
  <c r="AC34" i="12"/>
  <c r="AC33" i="12"/>
  <c r="AC32" i="12"/>
  <c r="AE38" i="12"/>
  <c r="AE37" i="12"/>
  <c r="AE36" i="12"/>
  <c r="AE35" i="12"/>
  <c r="AE34" i="12"/>
  <c r="AE33" i="12"/>
  <c r="AE32" i="12"/>
  <c r="AB38" i="12"/>
  <c r="AB37" i="12"/>
  <c r="AB36" i="12"/>
  <c r="AB35" i="12"/>
  <c r="AB34" i="12"/>
  <c r="AB33" i="12"/>
  <c r="AB32" i="12"/>
  <c r="AA38" i="12"/>
  <c r="AA37" i="12"/>
  <c r="AA36" i="12"/>
  <c r="AA35" i="12"/>
  <c r="AA34" i="12"/>
  <c r="AA33" i="12"/>
  <c r="AA32" i="12"/>
  <c r="AF31" i="12"/>
  <c r="AE31" i="12"/>
  <c r="AF30" i="12"/>
  <c r="AE30" i="12"/>
  <c r="AF29" i="12"/>
  <c r="AE29" i="12"/>
  <c r="AF28" i="12"/>
  <c r="AE28" i="12"/>
  <c r="AF27" i="12"/>
  <c r="AE27" i="12"/>
  <c r="AD31" i="12"/>
  <c r="AC31" i="12"/>
  <c r="AD30" i="12"/>
  <c r="AC30" i="12"/>
  <c r="AD29" i="12"/>
  <c r="AC29" i="12"/>
  <c r="AD28" i="12"/>
  <c r="AC28" i="12"/>
  <c r="AD27" i="12"/>
  <c r="AC27" i="12"/>
  <c r="AB31" i="12"/>
  <c r="AA31" i="12"/>
  <c r="AB30" i="12"/>
  <c r="AA30" i="12"/>
  <c r="AB29" i="12"/>
  <c r="AA29" i="12"/>
  <c r="K31" i="12" s="1"/>
  <c r="AB28" i="12"/>
  <c r="AA28" i="12"/>
  <c r="AB27" i="12"/>
  <c r="AA27" i="12"/>
  <c r="AW21" i="12"/>
  <c r="AV21" i="12"/>
  <c r="AU21" i="12"/>
  <c r="AT21" i="12"/>
  <c r="AS21" i="12"/>
  <c r="AR21" i="12"/>
  <c r="AQ21" i="12"/>
  <c r="AP21" i="12"/>
  <c r="AH21" i="12"/>
  <c r="AG21" i="12"/>
  <c r="AF21" i="12"/>
  <c r="AE21" i="12"/>
  <c r="AD21" i="12"/>
  <c r="AC21" i="12"/>
  <c r="AB21" i="12"/>
  <c r="AA21" i="12"/>
  <c r="L38" i="12" l="1"/>
  <c r="L32" i="12"/>
  <c r="L30" i="12"/>
  <c r="L36" i="12"/>
  <c r="L37" i="12"/>
  <c r="L29" i="12"/>
  <c r="L33" i="12"/>
  <c r="L34" i="12"/>
  <c r="K34" i="12"/>
  <c r="K35" i="12"/>
  <c r="K39" i="12"/>
  <c r="K30" i="12"/>
  <c r="K29" i="12"/>
  <c r="K33" i="12"/>
  <c r="K38" i="12"/>
  <c r="L39" i="12"/>
  <c r="L40" i="12"/>
  <c r="L31" i="12"/>
  <c r="L35" i="12"/>
  <c r="M31" i="12" l="1"/>
  <c r="M34" i="12"/>
  <c r="K36" i="12"/>
  <c r="K32" i="12"/>
  <c r="K37" i="12"/>
  <c r="M29" i="12"/>
  <c r="M33" i="12"/>
  <c r="M38" i="12"/>
  <c r="K40" i="12"/>
  <c r="M35" i="12"/>
  <c r="M30" i="12"/>
  <c r="M39" i="12"/>
  <c r="P28" i="8"/>
  <c r="S39" i="8"/>
  <c r="S38" i="8"/>
  <c r="S37" i="8"/>
  <c r="S36" i="8"/>
  <c r="S35" i="8"/>
  <c r="S34" i="8"/>
  <c r="S33" i="8"/>
  <c r="S32" i="8"/>
  <c r="S31" i="8"/>
  <c r="S30" i="8"/>
  <c r="S29" i="8"/>
  <c r="S28" i="8"/>
  <c r="P39" i="8"/>
  <c r="P38" i="8"/>
  <c r="P37" i="8"/>
  <c r="P36" i="8"/>
  <c r="P35" i="8"/>
  <c r="P34" i="8"/>
  <c r="P33" i="8"/>
  <c r="P32" i="8"/>
  <c r="P31" i="8"/>
  <c r="P30" i="8"/>
  <c r="P29" i="8"/>
  <c r="F79" i="13"/>
  <c r="V79" i="13" s="1"/>
  <c r="G79" i="13"/>
  <c r="W79" i="13" s="1"/>
  <c r="H79" i="13"/>
  <c r="X79" i="13" s="1"/>
  <c r="I79" i="13"/>
  <c r="Y79" i="13" s="1"/>
  <c r="J79" i="13"/>
  <c r="Z79" i="13" s="1"/>
  <c r="K79" i="13"/>
  <c r="AA79" i="13" s="1"/>
  <c r="F80" i="13"/>
  <c r="V80" i="13" s="1"/>
  <c r="G80" i="13"/>
  <c r="W80" i="13" s="1"/>
  <c r="H80" i="13"/>
  <c r="X80" i="13" s="1"/>
  <c r="I80" i="13"/>
  <c r="Y80" i="13" s="1"/>
  <c r="J80" i="13"/>
  <c r="Z80" i="13" s="1"/>
  <c r="K80" i="13"/>
  <c r="AA80" i="13" s="1"/>
  <c r="F81" i="13"/>
  <c r="V81" i="13" s="1"/>
  <c r="G81" i="13"/>
  <c r="W81" i="13" s="1"/>
  <c r="H81" i="13"/>
  <c r="X81" i="13" s="1"/>
  <c r="I81" i="13"/>
  <c r="Y81" i="13" s="1"/>
  <c r="J81" i="13"/>
  <c r="Z81" i="13" s="1"/>
  <c r="K81" i="13"/>
  <c r="AA81" i="13" s="1"/>
  <c r="F82" i="13"/>
  <c r="V82" i="13" s="1"/>
  <c r="G82" i="13"/>
  <c r="W82" i="13" s="1"/>
  <c r="H82" i="13"/>
  <c r="X82" i="13" s="1"/>
  <c r="I82" i="13"/>
  <c r="Y82" i="13" s="1"/>
  <c r="J82" i="13"/>
  <c r="Z82" i="13" s="1"/>
  <c r="K82" i="13"/>
  <c r="AA82" i="13" s="1"/>
  <c r="F83" i="13"/>
  <c r="V83" i="13" s="1"/>
  <c r="G83" i="13"/>
  <c r="W83" i="13" s="1"/>
  <c r="H83" i="13"/>
  <c r="X83" i="13" s="1"/>
  <c r="I83" i="13"/>
  <c r="Y83" i="13" s="1"/>
  <c r="J83" i="13"/>
  <c r="Z83" i="13" s="1"/>
  <c r="K83" i="13"/>
  <c r="AA83" i="13" s="1"/>
  <c r="F84" i="13"/>
  <c r="V84" i="13" s="1"/>
  <c r="G84" i="13"/>
  <c r="W84" i="13" s="1"/>
  <c r="H84" i="13"/>
  <c r="X84" i="13" s="1"/>
  <c r="I84" i="13"/>
  <c r="Y84" i="13" s="1"/>
  <c r="J84" i="13"/>
  <c r="Z84" i="13" s="1"/>
  <c r="K84" i="13"/>
  <c r="AA84" i="13" s="1"/>
  <c r="F85" i="13"/>
  <c r="V85" i="13" s="1"/>
  <c r="G85" i="13"/>
  <c r="W85" i="13" s="1"/>
  <c r="H85" i="13"/>
  <c r="X85" i="13" s="1"/>
  <c r="I85" i="13"/>
  <c r="Y85" i="13" s="1"/>
  <c r="J85" i="13"/>
  <c r="Z85" i="13" s="1"/>
  <c r="K85" i="13"/>
  <c r="AA85" i="13" s="1"/>
  <c r="F86" i="13"/>
  <c r="V86" i="13" s="1"/>
  <c r="G86" i="13"/>
  <c r="W86" i="13" s="1"/>
  <c r="H86" i="13"/>
  <c r="X86" i="13" s="1"/>
  <c r="I86" i="13"/>
  <c r="Y86" i="13" s="1"/>
  <c r="J86" i="13"/>
  <c r="Z86" i="13" s="1"/>
  <c r="K86" i="13"/>
  <c r="AA86" i="13" s="1"/>
  <c r="F87" i="13"/>
  <c r="V87" i="13" s="1"/>
  <c r="G87" i="13"/>
  <c r="W87" i="13" s="1"/>
  <c r="H87" i="13"/>
  <c r="X87" i="13" s="1"/>
  <c r="I87" i="13"/>
  <c r="Y87" i="13" s="1"/>
  <c r="J87" i="13"/>
  <c r="Z87" i="13" s="1"/>
  <c r="K87" i="13"/>
  <c r="AA87" i="13" s="1"/>
  <c r="F88" i="13"/>
  <c r="V88" i="13" s="1"/>
  <c r="G88" i="13"/>
  <c r="W88" i="13" s="1"/>
  <c r="H88" i="13"/>
  <c r="X88" i="13" s="1"/>
  <c r="I88" i="13"/>
  <c r="Y88" i="13" s="1"/>
  <c r="J88" i="13"/>
  <c r="Z88" i="13" s="1"/>
  <c r="K88" i="13"/>
  <c r="AA88" i="13" s="1"/>
  <c r="F89" i="13"/>
  <c r="V89" i="13" s="1"/>
  <c r="G89" i="13"/>
  <c r="W89" i="13" s="1"/>
  <c r="H89" i="13"/>
  <c r="X89" i="13" s="1"/>
  <c r="I89" i="13"/>
  <c r="Y89" i="13" s="1"/>
  <c r="J89" i="13"/>
  <c r="Z89" i="13" s="1"/>
  <c r="K89" i="13"/>
  <c r="AA89" i="13" s="1"/>
  <c r="F90" i="13"/>
  <c r="V90" i="13" s="1"/>
  <c r="G90" i="13"/>
  <c r="W90" i="13" s="1"/>
  <c r="H90" i="13"/>
  <c r="X90" i="13" s="1"/>
  <c r="I90" i="13"/>
  <c r="Y90" i="13" s="1"/>
  <c r="J90" i="13"/>
  <c r="Z90" i="13" s="1"/>
  <c r="K90" i="13"/>
  <c r="AA90" i="13" s="1"/>
  <c r="F61" i="13"/>
  <c r="V61" i="13" s="1"/>
  <c r="G61" i="13"/>
  <c r="W61" i="13" s="1"/>
  <c r="H61" i="13"/>
  <c r="X61" i="13" s="1"/>
  <c r="I61" i="13"/>
  <c r="J61" i="13"/>
  <c r="Z61" i="13" s="1"/>
  <c r="K61" i="13"/>
  <c r="F62" i="13"/>
  <c r="V62" i="13" s="1"/>
  <c r="G62" i="13"/>
  <c r="W62" i="13" s="1"/>
  <c r="AB62" i="13" s="1"/>
  <c r="H62" i="13"/>
  <c r="X62" i="13" s="1"/>
  <c r="I62" i="13"/>
  <c r="J62" i="13"/>
  <c r="Z62" i="13" s="1"/>
  <c r="K62" i="13"/>
  <c r="F63" i="13"/>
  <c r="V63" i="13" s="1"/>
  <c r="G63" i="13"/>
  <c r="W63" i="13" s="1"/>
  <c r="H63" i="13"/>
  <c r="X63" i="13" s="1"/>
  <c r="I63" i="13"/>
  <c r="J63" i="13"/>
  <c r="Z63" i="13" s="1"/>
  <c r="AB63" i="13" s="1"/>
  <c r="K63" i="13"/>
  <c r="F64" i="13"/>
  <c r="V64" i="13" s="1"/>
  <c r="AB64" i="13" s="1"/>
  <c r="G64" i="13"/>
  <c r="W64" i="13" s="1"/>
  <c r="H64" i="13"/>
  <c r="X64" i="13" s="1"/>
  <c r="I64" i="13"/>
  <c r="J64" i="13"/>
  <c r="Z64" i="13" s="1"/>
  <c r="K64" i="13"/>
  <c r="F65" i="13"/>
  <c r="V65" i="13" s="1"/>
  <c r="AB65" i="13" s="1"/>
  <c r="G65" i="13"/>
  <c r="W65" i="13" s="1"/>
  <c r="H65" i="13"/>
  <c r="X65" i="13" s="1"/>
  <c r="I65" i="13"/>
  <c r="J65" i="13"/>
  <c r="Z65" i="13" s="1"/>
  <c r="K65" i="13"/>
  <c r="F66" i="13"/>
  <c r="V66" i="13" s="1"/>
  <c r="G66" i="13"/>
  <c r="W66" i="13" s="1"/>
  <c r="AB66" i="13" s="1"/>
  <c r="H66" i="13"/>
  <c r="X66" i="13" s="1"/>
  <c r="I66" i="13"/>
  <c r="J66" i="13"/>
  <c r="Z66" i="13" s="1"/>
  <c r="K66" i="13"/>
  <c r="F67" i="13"/>
  <c r="V67" i="13" s="1"/>
  <c r="G67" i="13"/>
  <c r="W67" i="13" s="1"/>
  <c r="H67" i="13"/>
  <c r="X67" i="13" s="1"/>
  <c r="I67" i="13"/>
  <c r="J67" i="13"/>
  <c r="Z67" i="13" s="1"/>
  <c r="AB67" i="13" s="1"/>
  <c r="K67" i="13"/>
  <c r="F68" i="13"/>
  <c r="V68" i="13" s="1"/>
  <c r="AB68" i="13" s="1"/>
  <c r="G68" i="13"/>
  <c r="W68" i="13" s="1"/>
  <c r="H68" i="13"/>
  <c r="X68" i="13" s="1"/>
  <c r="I68" i="13"/>
  <c r="J68" i="13"/>
  <c r="Z68" i="13" s="1"/>
  <c r="K68" i="13"/>
  <c r="F69" i="13"/>
  <c r="V69" i="13" s="1"/>
  <c r="AB69" i="13" s="1"/>
  <c r="G69" i="13"/>
  <c r="W69" i="13" s="1"/>
  <c r="H69" i="13"/>
  <c r="X69" i="13" s="1"/>
  <c r="I69" i="13"/>
  <c r="J69" i="13"/>
  <c r="Z69" i="13" s="1"/>
  <c r="K69" i="13"/>
  <c r="F70" i="13"/>
  <c r="V70" i="13" s="1"/>
  <c r="G70" i="13"/>
  <c r="W70" i="13" s="1"/>
  <c r="AB70" i="13" s="1"/>
  <c r="H70" i="13"/>
  <c r="X70" i="13" s="1"/>
  <c r="I70" i="13"/>
  <c r="J70" i="13"/>
  <c r="Z70" i="13" s="1"/>
  <c r="K70" i="13"/>
  <c r="F71" i="13"/>
  <c r="V71" i="13" s="1"/>
  <c r="G71" i="13"/>
  <c r="W71" i="13" s="1"/>
  <c r="H71" i="13"/>
  <c r="X71" i="13" s="1"/>
  <c r="I71" i="13"/>
  <c r="J71" i="13"/>
  <c r="Z71" i="13" s="1"/>
  <c r="AB71" i="13" s="1"/>
  <c r="K71" i="13"/>
  <c r="F72" i="13"/>
  <c r="V72" i="13" s="1"/>
  <c r="AB72" i="13" s="1"/>
  <c r="G72" i="13"/>
  <c r="W72" i="13" s="1"/>
  <c r="H72" i="13"/>
  <c r="X72" i="13" s="1"/>
  <c r="I72" i="13"/>
  <c r="J72" i="13"/>
  <c r="Z72" i="13" s="1"/>
  <c r="K72" i="13"/>
  <c r="L90" i="13"/>
  <c r="L89" i="13"/>
  <c r="L88" i="13"/>
  <c r="L87" i="13"/>
  <c r="L86" i="13"/>
  <c r="L85" i="13"/>
  <c r="L84" i="13"/>
  <c r="L83" i="13"/>
  <c r="L82" i="13"/>
  <c r="L81" i="13"/>
  <c r="L80" i="13"/>
  <c r="L79" i="13"/>
  <c r="L72" i="13"/>
  <c r="L71" i="13"/>
  <c r="L70" i="13"/>
  <c r="L69" i="13"/>
  <c r="L68" i="13"/>
  <c r="L67" i="13"/>
  <c r="L66" i="13"/>
  <c r="L65" i="13"/>
  <c r="L64" i="13"/>
  <c r="L63" i="13"/>
  <c r="L62" i="13"/>
  <c r="L61" i="13"/>
  <c r="V73" i="13" l="1"/>
  <c r="Z73" i="13"/>
  <c r="L91" i="13"/>
  <c r="X73" i="13"/>
  <c r="AB61" i="13"/>
  <c r="W73" i="13"/>
  <c r="M37" i="12"/>
  <c r="M32" i="12"/>
  <c r="M36" i="12"/>
  <c r="M40" i="12"/>
  <c r="AB90" i="13"/>
  <c r="AB82" i="13"/>
  <c r="AB86" i="13"/>
  <c r="AB79" i="13"/>
  <c r="AB83" i="13"/>
  <c r="AB88" i="13"/>
  <c r="AB84" i="13"/>
  <c r="AB80" i="13"/>
  <c r="AB87" i="13"/>
  <c r="AB89" i="13"/>
  <c r="AB85" i="13"/>
  <c r="AB81" i="13"/>
  <c r="V91" i="13"/>
  <c r="Z91" i="13"/>
  <c r="W91" i="13"/>
  <c r="L73" i="13"/>
  <c r="AA91" i="13"/>
  <c r="Y91" i="13"/>
  <c r="X91" i="13"/>
  <c r="AB73" i="13" l="1"/>
  <c r="AB91" i="13"/>
  <c r="AE26" i="13" l="1"/>
  <c r="AD26" i="13"/>
  <c r="AC26" i="13"/>
  <c r="AB26" i="13"/>
  <c r="AA26" i="13"/>
  <c r="Z26" i="13"/>
  <c r="Y26" i="13"/>
  <c r="X26" i="13"/>
  <c r="W26" i="13"/>
  <c r="V26" i="13"/>
  <c r="U26" i="13"/>
  <c r="T26" i="13"/>
  <c r="S26" i="13"/>
  <c r="R26" i="13"/>
  <c r="Q26" i="13"/>
  <c r="P26" i="13"/>
  <c r="AE25" i="13"/>
  <c r="AD25" i="13"/>
  <c r="AC25" i="13"/>
  <c r="AB25" i="13"/>
  <c r="AA25" i="13"/>
  <c r="Z25" i="13"/>
  <c r="Y25" i="13"/>
  <c r="X25" i="13"/>
  <c r="W25" i="13"/>
  <c r="V25" i="13"/>
  <c r="U25" i="13"/>
  <c r="T25" i="13"/>
  <c r="S25" i="13"/>
  <c r="R25" i="13"/>
  <c r="Q25" i="13"/>
  <c r="P25" i="13"/>
  <c r="AE24" i="13"/>
  <c r="AD24" i="13"/>
  <c r="AC24" i="13"/>
  <c r="AB24" i="13"/>
  <c r="AA24" i="13"/>
  <c r="Z24" i="13"/>
  <c r="Y24" i="13"/>
  <c r="X24" i="13"/>
  <c r="W24" i="13"/>
  <c r="V24" i="13"/>
  <c r="U24" i="13"/>
  <c r="T24" i="13"/>
  <c r="S24" i="13"/>
  <c r="R24" i="13"/>
  <c r="Q24" i="13"/>
  <c r="P24" i="13"/>
  <c r="AE23" i="13"/>
  <c r="AD23" i="13"/>
  <c r="AC23" i="13"/>
  <c r="AB23" i="13"/>
  <c r="AA23" i="13"/>
  <c r="Z23" i="13"/>
  <c r="Y23" i="13"/>
  <c r="X23" i="13"/>
  <c r="W23" i="13"/>
  <c r="V23" i="13"/>
  <c r="U23" i="13"/>
  <c r="T23" i="13"/>
  <c r="S23" i="13"/>
  <c r="R23" i="13"/>
  <c r="Q23" i="13"/>
  <c r="P23" i="13"/>
  <c r="AE22" i="13"/>
  <c r="AD22" i="13"/>
  <c r="AC22" i="13"/>
  <c r="AB22" i="13"/>
  <c r="AA22" i="13"/>
  <c r="Z22" i="13"/>
  <c r="Y22" i="13"/>
  <c r="X22" i="13"/>
  <c r="W22" i="13"/>
  <c r="V22" i="13"/>
  <c r="U22" i="13"/>
  <c r="T22" i="13"/>
  <c r="S22" i="13"/>
  <c r="R22" i="13"/>
  <c r="Q22" i="13"/>
  <c r="P22" i="13"/>
  <c r="M41" i="12"/>
  <c r="L41" i="12"/>
  <c r="K41" i="12"/>
  <c r="J41" i="12"/>
  <c r="I41" i="12"/>
  <c r="H41" i="12"/>
  <c r="G41" i="12"/>
  <c r="F41" i="12"/>
  <c r="E41" i="12"/>
  <c r="D41" i="12"/>
  <c r="C41" i="12"/>
  <c r="AD150" i="12"/>
  <c r="AD149" i="12"/>
  <c r="AD148" i="12"/>
  <c r="AD147" i="12"/>
  <c r="AD146" i="12"/>
  <c r="AE146" i="12" s="1"/>
  <c r="AD145" i="12"/>
  <c r="AD144" i="12"/>
  <c r="AD143" i="12"/>
  <c r="AD142" i="12"/>
  <c r="AD141" i="12"/>
  <c r="AD140" i="12"/>
  <c r="AD139" i="12"/>
  <c r="AD138" i="12"/>
  <c r="AD137" i="12"/>
  <c r="AD132" i="12"/>
  <c r="AD131" i="12"/>
  <c r="CP6" i="12" l="1"/>
  <c r="AE147" i="12"/>
  <c r="AE131" i="12"/>
  <c r="AE143" i="12"/>
  <c r="AE140" i="12"/>
  <c r="AE137" i="12"/>
  <c r="AE149" i="12"/>
  <c r="AN189" i="12" l="1"/>
  <c r="AM189" i="12"/>
  <c r="AL189" i="12"/>
  <c r="AK189" i="12"/>
  <c r="U125" i="12"/>
  <c r="T125" i="12"/>
  <c r="U124" i="12"/>
  <c r="T124" i="12"/>
  <c r="U123" i="12"/>
  <c r="T123" i="12"/>
  <c r="U122" i="12"/>
  <c r="T122" i="12"/>
  <c r="U121" i="12"/>
  <c r="T121" i="12"/>
  <c r="U120" i="12"/>
  <c r="T120" i="12"/>
  <c r="U119" i="12"/>
  <c r="T119" i="12"/>
  <c r="AS157" i="8" l="1"/>
  <c r="AS156" i="8"/>
  <c r="AS155" i="8"/>
  <c r="AS154" i="8"/>
  <c r="AS153" i="8"/>
  <c r="AS152" i="8"/>
  <c r="AS151" i="8"/>
  <c r="AS150" i="8"/>
  <c r="AS149" i="8"/>
  <c r="AS148" i="8"/>
  <c r="AS147" i="8"/>
  <c r="AS146" i="8"/>
  <c r="AS145" i="8"/>
  <c r="AS144" i="8"/>
  <c r="AS143" i="8"/>
  <c r="AS142" i="8"/>
  <c r="AS141" i="8"/>
  <c r="AS140" i="8"/>
  <c r="AS139" i="8"/>
  <c r="AS138" i="8"/>
  <c r="AS137" i="8"/>
  <c r="AS136" i="8"/>
  <c r="AS135" i="8"/>
  <c r="AS134" i="8"/>
  <c r="AS133" i="8"/>
  <c r="AS132" i="8"/>
  <c r="AS131" i="8"/>
  <c r="AS130" i="8"/>
  <c r="AS129" i="8"/>
  <c r="AS128" i="8"/>
  <c r="AS127" i="8"/>
  <c r="AS126" i="8"/>
  <c r="AS125" i="8"/>
  <c r="AS124" i="8"/>
  <c r="AS123" i="8"/>
  <c r="AS122" i="8"/>
  <c r="AS121" i="8"/>
  <c r="AS120" i="8"/>
  <c r="AS119" i="8"/>
  <c r="AS118" i="8"/>
  <c r="AS117" i="8"/>
  <c r="AS116" i="8"/>
  <c r="AS115" i="8"/>
  <c r="AS114" i="8"/>
  <c r="AS113" i="8"/>
  <c r="O8" i="9" l="1"/>
  <c r="N8" i="9"/>
  <c r="M8" i="9"/>
  <c r="L8" i="9"/>
  <c r="K8" i="9"/>
  <c r="J8" i="9"/>
  <c r="I8" i="9"/>
  <c r="H8" i="9"/>
  <c r="G8" i="9"/>
  <c r="F8" i="9"/>
  <c r="E8" i="9"/>
  <c r="D8" i="9"/>
  <c r="C8" i="9"/>
  <c r="O7" i="9"/>
  <c r="N7" i="9"/>
  <c r="M7" i="9"/>
  <c r="L7" i="9"/>
  <c r="K7" i="9"/>
  <c r="J7" i="9"/>
  <c r="I7" i="9"/>
  <c r="H7" i="9"/>
  <c r="G7" i="9"/>
  <c r="F7" i="9"/>
  <c r="E7" i="9"/>
  <c r="D7" i="9"/>
  <c r="C7" i="9"/>
  <c r="O6" i="9"/>
  <c r="N6" i="9"/>
  <c r="M6" i="9"/>
  <c r="L6" i="9"/>
  <c r="K6" i="9"/>
  <c r="J6" i="9"/>
  <c r="I6" i="9"/>
  <c r="H6" i="9"/>
  <c r="G6" i="9"/>
  <c r="F6" i="9"/>
  <c r="E6" i="9"/>
  <c r="D6" i="9"/>
  <c r="C6" i="9"/>
  <c r="O5" i="9"/>
  <c r="N5" i="9"/>
  <c r="M5" i="9"/>
  <c r="L5" i="9"/>
  <c r="K5" i="9"/>
  <c r="J5" i="9"/>
  <c r="I5" i="9"/>
  <c r="H5" i="9"/>
  <c r="G5" i="9"/>
  <c r="F5" i="9"/>
  <c r="E5" i="9"/>
  <c r="D5" i="9"/>
  <c r="C5" i="9"/>
  <c r="O4" i="9"/>
  <c r="N4" i="9"/>
  <c r="M4" i="9"/>
  <c r="L4" i="9"/>
  <c r="K4" i="9"/>
  <c r="J4" i="9"/>
  <c r="I4" i="9"/>
  <c r="H4" i="9"/>
  <c r="G4" i="9"/>
  <c r="F4" i="9"/>
  <c r="E4" i="9"/>
  <c r="D4" i="9"/>
  <c r="C4" i="9"/>
  <c r="O3" i="9"/>
  <c r="N3" i="9"/>
  <c r="M3" i="9"/>
  <c r="L3" i="9"/>
  <c r="K3" i="9"/>
  <c r="J3" i="9"/>
  <c r="I3" i="9"/>
  <c r="H3" i="9"/>
  <c r="G3" i="9"/>
  <c r="F3" i="9"/>
  <c r="E3" i="9"/>
  <c r="D3" i="9"/>
  <c r="C3" i="9"/>
  <c r="F9" i="7" l="1"/>
  <c r="X6" i="7" s="1"/>
  <c r="E9" i="7"/>
  <c r="W6" i="7" s="1"/>
  <c r="D9" i="7"/>
  <c r="V8" i="7" s="1"/>
  <c r="C9" i="7"/>
  <c r="U5" i="7" s="1"/>
  <c r="U12" i="7" s="1"/>
  <c r="B9" i="7"/>
  <c r="T5" i="7" s="1"/>
  <c r="G8" i="7"/>
  <c r="O8" i="7" s="1"/>
  <c r="G7" i="7"/>
  <c r="L7" i="7" s="1"/>
  <c r="G6" i="7"/>
  <c r="P6" i="7" s="1"/>
  <c r="G5" i="7"/>
  <c r="P5" i="7" s="1"/>
  <c r="P12" i="7" s="1"/>
  <c r="G4" i="7"/>
  <c r="O4" i="7" s="1"/>
  <c r="P8" i="9"/>
  <c r="P7" i="9"/>
  <c r="P6" i="9"/>
  <c r="P3" i="9"/>
  <c r="P5" i="9"/>
  <c r="P4" i="9"/>
  <c r="M6" i="7" l="1"/>
  <c r="X5" i="7"/>
  <c r="D90" i="12"/>
  <c r="D88" i="12"/>
  <c r="D97" i="12"/>
  <c r="D98" i="12"/>
  <c r="D94" i="12"/>
  <c r="D92" i="12"/>
  <c r="D89" i="12"/>
  <c r="D93" i="12"/>
  <c r="D99" i="12"/>
  <c r="D95" i="12"/>
  <c r="D96" i="12"/>
  <c r="D91" i="12"/>
  <c r="D100" i="12"/>
  <c r="G73" i="12"/>
  <c r="G72" i="12"/>
  <c r="G63" i="12"/>
  <c r="G67" i="12"/>
  <c r="G66" i="12"/>
  <c r="G64" i="12"/>
  <c r="G71" i="12"/>
  <c r="G69" i="12"/>
  <c r="G70" i="12"/>
  <c r="G68" i="12"/>
  <c r="G62" i="12"/>
  <c r="G65" i="12"/>
  <c r="G74" i="12"/>
  <c r="L6" i="7"/>
  <c r="M7" i="7"/>
  <c r="L4" i="7"/>
  <c r="N7" i="7"/>
  <c r="M4" i="7"/>
  <c r="O7" i="7"/>
  <c r="N4" i="7"/>
  <c r="Q4" i="7" s="1"/>
  <c r="P7" i="7"/>
  <c r="W8" i="7"/>
  <c r="O5" i="7"/>
  <c r="O12" i="7" s="1"/>
  <c r="P8" i="7"/>
  <c r="V5" i="7"/>
  <c r="T7" i="7"/>
  <c r="T4" i="7"/>
  <c r="W5" i="7"/>
  <c r="U7" i="7"/>
  <c r="W12" i="7" s="1"/>
  <c r="X8" i="7"/>
  <c r="V7" i="7"/>
  <c r="W7" i="7"/>
  <c r="C11" i="7"/>
  <c r="F11" i="7"/>
  <c r="B11" i="7"/>
  <c r="E11" i="7"/>
  <c r="D11" i="7"/>
  <c r="P4" i="7"/>
  <c r="N6" i="7"/>
  <c r="Q6" i="7" s="1"/>
  <c r="L8" i="7"/>
  <c r="W4" i="7"/>
  <c r="U6" i="7"/>
  <c r="V12" i="7" s="1"/>
  <c r="X7" i="7"/>
  <c r="U4" i="7"/>
  <c r="T6" i="7"/>
  <c r="G9" i="7"/>
  <c r="H9" i="7" s="1"/>
  <c r="L5" i="7"/>
  <c r="L12" i="7" s="1"/>
  <c r="O6" i="7"/>
  <c r="M8" i="7"/>
  <c r="X4" i="7"/>
  <c r="V6" i="7"/>
  <c r="T8" i="7"/>
  <c r="V4" i="7"/>
  <c r="M5" i="7"/>
  <c r="M12" i="7" s="1"/>
  <c r="N8" i="7"/>
  <c r="U8" i="7"/>
  <c r="X12" i="7" s="1"/>
  <c r="N5" i="7"/>
  <c r="N12" i="7" s="1"/>
  <c r="P287" i="8"/>
  <c r="R286" i="8"/>
  <c r="G287" i="8"/>
  <c r="H286" i="8"/>
  <c r="P285" i="8"/>
  <c r="R284" i="8"/>
  <c r="H285" i="8"/>
  <c r="H284" i="8"/>
  <c r="P283" i="8"/>
  <c r="R282" i="8"/>
  <c r="G283" i="8"/>
  <c r="H282" i="8"/>
  <c r="P281" i="8"/>
  <c r="R280" i="8"/>
  <c r="G281" i="8"/>
  <c r="H280" i="8"/>
  <c r="P279" i="8"/>
  <c r="R278" i="8"/>
  <c r="F279" i="8"/>
  <c r="H278" i="8"/>
  <c r="P277" i="8"/>
  <c r="R276" i="8"/>
  <c r="F277" i="8"/>
  <c r="H276" i="8"/>
  <c r="P275" i="8"/>
  <c r="R274" i="8"/>
  <c r="G275" i="8"/>
  <c r="H274" i="8"/>
  <c r="P273" i="8"/>
  <c r="Q272" i="8"/>
  <c r="F273" i="8"/>
  <c r="H272" i="8"/>
  <c r="P271" i="8"/>
  <c r="R270" i="8"/>
  <c r="H271" i="8"/>
  <c r="H270" i="8"/>
  <c r="P269" i="8"/>
  <c r="R268" i="8"/>
  <c r="F269" i="8"/>
  <c r="H268" i="8"/>
  <c r="S21" i="8"/>
  <c r="Q7" i="7" l="1"/>
  <c r="W9" i="7"/>
  <c r="F70" i="12"/>
  <c r="F68" i="12"/>
  <c r="F73" i="12"/>
  <c r="F63" i="12"/>
  <c r="F67" i="12"/>
  <c r="F72" i="12"/>
  <c r="F64" i="12"/>
  <c r="F69" i="12"/>
  <c r="F66" i="12"/>
  <c r="F71" i="12"/>
  <c r="F65" i="12"/>
  <c r="F62" i="12"/>
  <c r="F74" i="12"/>
  <c r="BS40" i="14"/>
  <c r="BX40" i="14"/>
  <c r="CA40" i="14"/>
  <c r="BW40" i="14"/>
  <c r="DP40" i="14" s="1"/>
  <c r="BQ40" i="14"/>
  <c r="BY40" i="14"/>
  <c r="BV40" i="14"/>
  <c r="DO40" i="14" s="1"/>
  <c r="BR40" i="14"/>
  <c r="DN40" i="14" s="1"/>
  <c r="CD40" i="14"/>
  <c r="BU40" i="14"/>
  <c r="CC40" i="14"/>
  <c r="CB40" i="14"/>
  <c r="BT40" i="14"/>
  <c r="BZ40" i="14"/>
  <c r="DQ40" i="14" s="1"/>
  <c r="AM89" i="12"/>
  <c r="AN89" i="12"/>
  <c r="AG89" i="12"/>
  <c r="DD89" i="12" s="1"/>
  <c r="AA89" i="12"/>
  <c r="AH89" i="12"/>
  <c r="AI89" i="12"/>
  <c r="AB89" i="12"/>
  <c r="DB89" i="12" s="1"/>
  <c r="AJ89" i="12"/>
  <c r="DE89" i="12" s="1"/>
  <c r="AC89" i="12"/>
  <c r="AK89" i="12"/>
  <c r="AD89" i="12"/>
  <c r="AE89" i="12"/>
  <c r="AF89" i="12"/>
  <c r="DC89" i="12" s="1"/>
  <c r="AL89" i="12"/>
  <c r="BS69" i="12"/>
  <c r="BX69" i="12"/>
  <c r="BY69" i="12"/>
  <c r="BR69" i="12"/>
  <c r="DN69" i="12" s="1"/>
  <c r="BU69" i="12"/>
  <c r="CA69" i="12"/>
  <c r="CC69" i="12"/>
  <c r="BW69" i="12"/>
  <c r="DP69" i="12" s="1"/>
  <c r="BV69" i="12"/>
  <c r="DO69" i="12" s="1"/>
  <c r="CD69" i="12"/>
  <c r="BQ69" i="12"/>
  <c r="BZ69" i="12"/>
  <c r="DQ69" i="12" s="1"/>
  <c r="BT69" i="12"/>
  <c r="CB69" i="12"/>
  <c r="CD115" i="13"/>
  <c r="CC115" i="13"/>
  <c r="BW115" i="13"/>
  <c r="DP115" i="13" s="1"/>
  <c r="CA115" i="13"/>
  <c r="CB115" i="13"/>
  <c r="BX115" i="13"/>
  <c r="BQ115" i="13"/>
  <c r="BS115" i="13"/>
  <c r="BY115" i="13"/>
  <c r="BT115" i="13"/>
  <c r="BR115" i="13"/>
  <c r="DN115" i="13" s="1"/>
  <c r="BZ115" i="13"/>
  <c r="DQ115" i="13" s="1"/>
  <c r="BU115" i="13"/>
  <c r="BV115" i="13"/>
  <c r="DO115" i="13" s="1"/>
  <c r="BR41" i="14"/>
  <c r="DN41" i="14" s="1"/>
  <c r="BQ41" i="14"/>
  <c r="BZ41" i="14"/>
  <c r="DQ41" i="14" s="1"/>
  <c r="BW41" i="14"/>
  <c r="DP41" i="14" s="1"/>
  <c r="BY41" i="14"/>
  <c r="BS41" i="14"/>
  <c r="CB41" i="14"/>
  <c r="BV41" i="14"/>
  <c r="DO41" i="14" s="1"/>
  <c r="CA41" i="14"/>
  <c r="BT41" i="14"/>
  <c r="BX41" i="14"/>
  <c r="CD41" i="14"/>
  <c r="CC41" i="14"/>
  <c r="BU41" i="14"/>
  <c r="BU109" i="13"/>
  <c r="CC109" i="13"/>
  <c r="BV109" i="13"/>
  <c r="DO109" i="13" s="1"/>
  <c r="BT109" i="13"/>
  <c r="CD109" i="13"/>
  <c r="BX109" i="13"/>
  <c r="CA109" i="13"/>
  <c r="BS109" i="13"/>
  <c r="BW109" i="13"/>
  <c r="DP109" i="13" s="1"/>
  <c r="BQ109" i="13"/>
  <c r="BY109" i="13"/>
  <c r="BR109" i="13"/>
  <c r="DN109" i="13" s="1"/>
  <c r="BZ109" i="13"/>
  <c r="DQ109" i="13" s="1"/>
  <c r="CB109" i="13"/>
  <c r="BS42" i="14"/>
  <c r="CA42" i="14"/>
  <c r="BX42" i="14"/>
  <c r="CB42" i="14"/>
  <c r="BZ42" i="14"/>
  <c r="DQ42" i="14" s="1"/>
  <c r="BW42" i="14"/>
  <c r="DP42" i="14" s="1"/>
  <c r="BY42" i="14"/>
  <c r="CC42" i="14"/>
  <c r="CD42" i="14"/>
  <c r="BU42" i="14"/>
  <c r="BR42" i="14"/>
  <c r="DN42" i="14" s="1"/>
  <c r="BV42" i="14"/>
  <c r="DO42" i="14" s="1"/>
  <c r="BT42" i="14"/>
  <c r="BQ42" i="14"/>
  <c r="AG92" i="12"/>
  <c r="DD92" i="12" s="1"/>
  <c r="AB92" i="12"/>
  <c r="DB92" i="12" s="1"/>
  <c r="AC92" i="12"/>
  <c r="AD92" i="12"/>
  <c r="AE92" i="12"/>
  <c r="AA92" i="12"/>
  <c r="AJ92" i="12"/>
  <c r="DE92" i="12" s="1"/>
  <c r="AK92" i="12"/>
  <c r="AL92" i="12"/>
  <c r="AH92" i="12"/>
  <c r="AI92" i="12"/>
  <c r="AF92" i="12"/>
  <c r="DC92" i="12" s="1"/>
  <c r="AM92" i="12"/>
  <c r="AN92" i="12"/>
  <c r="AM60" i="15"/>
  <c r="AE60" i="15"/>
  <c r="AG60" i="15"/>
  <c r="DD60" i="15" s="1"/>
  <c r="AL60" i="15"/>
  <c r="AD60" i="15"/>
  <c r="AK60" i="15"/>
  <c r="AC60" i="15"/>
  <c r="AJ60" i="15"/>
  <c r="DE60" i="15" s="1"/>
  <c r="AB60" i="15"/>
  <c r="DB60" i="15" s="1"/>
  <c r="AI60" i="15"/>
  <c r="AA60" i="15"/>
  <c r="AH60" i="15"/>
  <c r="AN60" i="15"/>
  <c r="AF60" i="15"/>
  <c r="DC60" i="15" s="1"/>
  <c r="BU111" i="13"/>
  <c r="BS111" i="13"/>
  <c r="CD111" i="13"/>
  <c r="CC111" i="13"/>
  <c r="CA111" i="13"/>
  <c r="BW111" i="13"/>
  <c r="DP111" i="13" s="1"/>
  <c r="CB111" i="13"/>
  <c r="BT111" i="13"/>
  <c r="BQ111" i="13"/>
  <c r="BX111" i="13"/>
  <c r="BY111" i="13"/>
  <c r="BV111" i="13"/>
  <c r="DO111" i="13" s="1"/>
  <c r="BZ111" i="13"/>
  <c r="DQ111" i="13" s="1"/>
  <c r="BR111" i="13"/>
  <c r="DN111" i="13" s="1"/>
  <c r="BZ38" i="14"/>
  <c r="DQ38" i="14" s="1"/>
  <c r="BQ38" i="14"/>
  <c r="BW38" i="14"/>
  <c r="DP38" i="14" s="1"/>
  <c r="BY38" i="14"/>
  <c r="BV38" i="14"/>
  <c r="DO38" i="14" s="1"/>
  <c r="BT38" i="14"/>
  <c r="BS38" i="14"/>
  <c r="CB38" i="14"/>
  <c r="CC38" i="14"/>
  <c r="CA38" i="14"/>
  <c r="BU38" i="14"/>
  <c r="BR38" i="14"/>
  <c r="DN38" i="14" s="1"/>
  <c r="BX38" i="14"/>
  <c r="CD38" i="14"/>
  <c r="F90" i="12"/>
  <c r="F98" i="12"/>
  <c r="F89" i="12"/>
  <c r="F94" i="12"/>
  <c r="F92" i="12"/>
  <c r="F97" i="12"/>
  <c r="F93" i="12"/>
  <c r="F88" i="12"/>
  <c r="F95" i="12"/>
  <c r="F99" i="12"/>
  <c r="F91" i="12"/>
  <c r="F96" i="12"/>
  <c r="F100" i="12"/>
  <c r="BX71" i="12"/>
  <c r="CC71" i="12"/>
  <c r="CB71" i="12"/>
  <c r="CA71" i="12"/>
  <c r="BZ71" i="12"/>
  <c r="DQ71" i="12" s="1"/>
  <c r="BW71" i="12"/>
  <c r="DP71" i="12" s="1"/>
  <c r="BS71" i="12"/>
  <c r="BV71" i="12"/>
  <c r="DO71" i="12" s="1"/>
  <c r="CD71" i="12"/>
  <c r="BU71" i="12"/>
  <c r="BT71" i="12"/>
  <c r="BQ71" i="12"/>
  <c r="BR71" i="12"/>
  <c r="DN71" i="12" s="1"/>
  <c r="BY71" i="12"/>
  <c r="CA17" i="15"/>
  <c r="BR17" i="15"/>
  <c r="DN17" i="15" s="1"/>
  <c r="CC17" i="15"/>
  <c r="BS17" i="15"/>
  <c r="BZ17" i="15"/>
  <c r="DQ17" i="15" s="1"/>
  <c r="BW17" i="15"/>
  <c r="DP17" i="15" s="1"/>
  <c r="BX17" i="15"/>
  <c r="BV17" i="15"/>
  <c r="DO17" i="15" s="1"/>
  <c r="BU17" i="15"/>
  <c r="CB17" i="15"/>
  <c r="CD17" i="15"/>
  <c r="BQ17" i="15"/>
  <c r="BY17" i="15"/>
  <c r="BT17" i="15"/>
  <c r="BT113" i="13"/>
  <c r="BX113" i="13"/>
  <c r="CB113" i="13"/>
  <c r="BQ113" i="13"/>
  <c r="BW113" i="13"/>
  <c r="DP113" i="13" s="1"/>
  <c r="BY113" i="13"/>
  <c r="BU113" i="13"/>
  <c r="BR113" i="13"/>
  <c r="DN113" i="13" s="1"/>
  <c r="BV113" i="13"/>
  <c r="DO113" i="13" s="1"/>
  <c r="BZ113" i="13"/>
  <c r="DQ113" i="13" s="1"/>
  <c r="CC113" i="13"/>
  <c r="BS113" i="13"/>
  <c r="CA113" i="13"/>
  <c r="CD113" i="13"/>
  <c r="D101" i="12"/>
  <c r="AL100" i="12"/>
  <c r="AH100" i="12"/>
  <c r="AD100" i="12"/>
  <c r="AA100" i="12"/>
  <c r="AK100" i="12"/>
  <c r="AG100" i="12"/>
  <c r="DD100" i="12" s="1"/>
  <c r="AC100" i="12"/>
  <c r="AN100" i="12"/>
  <c r="AJ100" i="12"/>
  <c r="DE100" i="12" s="1"/>
  <c r="AF100" i="12"/>
  <c r="DC100" i="12" s="1"/>
  <c r="AB100" i="12"/>
  <c r="DB100" i="12" s="1"/>
  <c r="AM100" i="12"/>
  <c r="AI100" i="12"/>
  <c r="AE100" i="12"/>
  <c r="AK94" i="12"/>
  <c r="AC94" i="12"/>
  <c r="AJ94" i="12"/>
  <c r="DE94" i="12" s="1"/>
  <c r="AB94" i="12"/>
  <c r="DB94" i="12" s="1"/>
  <c r="AI94" i="12"/>
  <c r="AA94" i="12"/>
  <c r="AH94" i="12"/>
  <c r="AG94" i="12"/>
  <c r="DD94" i="12" s="1"/>
  <c r="AN94" i="12"/>
  <c r="AF94" i="12"/>
  <c r="DC94" i="12" s="1"/>
  <c r="AM94" i="12"/>
  <c r="AE94" i="12"/>
  <c r="AL94" i="12"/>
  <c r="AD94" i="12"/>
  <c r="AC151" i="13"/>
  <c r="AH151" i="13"/>
  <c r="AK151" i="13"/>
  <c r="AI151" i="13"/>
  <c r="AD151" i="13"/>
  <c r="AA151" i="13"/>
  <c r="AM151" i="13"/>
  <c r="AJ151" i="13"/>
  <c r="DE151" i="13" s="1"/>
  <c r="AN151" i="13"/>
  <c r="AL151" i="13"/>
  <c r="AF151" i="13"/>
  <c r="DC151" i="13" s="1"/>
  <c r="AB151" i="13"/>
  <c r="DB151" i="13" s="1"/>
  <c r="AE151" i="13"/>
  <c r="AG151" i="13"/>
  <c r="DD151" i="13" s="1"/>
  <c r="AG147" i="13"/>
  <c r="DD147" i="13" s="1"/>
  <c r="AF147" i="13"/>
  <c r="DC147" i="13" s="1"/>
  <c r="AH147" i="13"/>
  <c r="AN147" i="13"/>
  <c r="AI147" i="13"/>
  <c r="AC147" i="13"/>
  <c r="AB147" i="13"/>
  <c r="DB147" i="13" s="1"/>
  <c r="AL147" i="13"/>
  <c r="AK147" i="13"/>
  <c r="AM147" i="13"/>
  <c r="AJ147" i="13"/>
  <c r="DE147" i="13" s="1"/>
  <c r="AD147" i="13"/>
  <c r="AE147" i="13"/>
  <c r="AA147" i="13"/>
  <c r="BR70" i="12"/>
  <c r="DN70" i="12" s="1"/>
  <c r="BV70" i="12"/>
  <c r="DO70" i="12" s="1"/>
  <c r="CC70" i="12"/>
  <c r="BY70" i="12"/>
  <c r="BW70" i="12"/>
  <c r="DP70" i="12" s="1"/>
  <c r="BT70" i="12"/>
  <c r="BX70" i="12"/>
  <c r="BQ70" i="12"/>
  <c r="CB70" i="12"/>
  <c r="BS70" i="12"/>
  <c r="CA70" i="12"/>
  <c r="BU70" i="12"/>
  <c r="BZ70" i="12"/>
  <c r="DQ70" i="12" s="1"/>
  <c r="CD70" i="12"/>
  <c r="AG155" i="13"/>
  <c r="DD155" i="13" s="1"/>
  <c r="AC155" i="13"/>
  <c r="AH155" i="13"/>
  <c r="AL155" i="13"/>
  <c r="AI155" i="13"/>
  <c r="AD155" i="13"/>
  <c r="AA155" i="13"/>
  <c r="AM155" i="13"/>
  <c r="AJ155" i="13"/>
  <c r="DE155" i="13" s="1"/>
  <c r="AE155" i="13"/>
  <c r="AN155" i="13"/>
  <c r="AK155" i="13"/>
  <c r="AF155" i="13"/>
  <c r="DC155" i="13" s="1"/>
  <c r="AB155" i="13"/>
  <c r="DB155" i="13" s="1"/>
  <c r="U9" i="7"/>
  <c r="Y12" i="7" s="1"/>
  <c r="T12" i="7"/>
  <c r="BT64" i="12"/>
  <c r="BS64" i="12"/>
  <c r="CB64" i="12"/>
  <c r="BX64" i="12"/>
  <c r="BW64" i="12"/>
  <c r="DP64" i="12" s="1"/>
  <c r="BQ64" i="12"/>
  <c r="CD64" i="12"/>
  <c r="BV64" i="12"/>
  <c r="DO64" i="12" s="1"/>
  <c r="BZ64" i="12"/>
  <c r="DQ64" i="12" s="1"/>
  <c r="CC64" i="12"/>
  <c r="BR64" i="12"/>
  <c r="DN64" i="12" s="1"/>
  <c r="BU64" i="12"/>
  <c r="BY64" i="12"/>
  <c r="CA64" i="12"/>
  <c r="BW37" i="14"/>
  <c r="DP37" i="14" s="1"/>
  <c r="CB37" i="14"/>
  <c r="BT37" i="14"/>
  <c r="BR37" i="14"/>
  <c r="DN37" i="14" s="1"/>
  <c r="BQ37" i="14"/>
  <c r="BZ37" i="14"/>
  <c r="DQ37" i="14" s="1"/>
  <c r="BU37" i="14"/>
  <c r="BY37" i="14"/>
  <c r="CD37" i="14"/>
  <c r="BS37" i="14"/>
  <c r="CC37" i="14"/>
  <c r="CA37" i="14"/>
  <c r="BX37" i="14"/>
  <c r="BV37" i="14"/>
  <c r="DO37" i="14" s="1"/>
  <c r="CC39" i="14"/>
  <c r="BW39" i="14"/>
  <c r="DP39" i="14" s="1"/>
  <c r="BT39" i="14"/>
  <c r="CB39" i="14"/>
  <c r="BS39" i="14"/>
  <c r="BY39" i="14"/>
  <c r="CA39" i="14"/>
  <c r="BU39" i="14"/>
  <c r="BQ39" i="14"/>
  <c r="BV39" i="14"/>
  <c r="DO39" i="14" s="1"/>
  <c r="CD39" i="14"/>
  <c r="BR39" i="14"/>
  <c r="DN39" i="14" s="1"/>
  <c r="BX39" i="14"/>
  <c r="BZ39" i="14"/>
  <c r="DQ39" i="14" s="1"/>
  <c r="AK91" i="12"/>
  <c r="AE91" i="12"/>
  <c r="AG91" i="12"/>
  <c r="DD91" i="12" s="1"/>
  <c r="AM91" i="12"/>
  <c r="AH91" i="12"/>
  <c r="AA91" i="12"/>
  <c r="AB91" i="12"/>
  <c r="DB91" i="12" s="1"/>
  <c r="AD91" i="12"/>
  <c r="AF91" i="12"/>
  <c r="DC91" i="12" s="1"/>
  <c r="AI91" i="12"/>
  <c r="AJ91" i="12"/>
  <c r="DE91" i="12" s="1"/>
  <c r="AC91" i="12"/>
  <c r="AN91" i="12"/>
  <c r="AL91" i="12"/>
  <c r="AM98" i="12"/>
  <c r="AE98" i="12"/>
  <c r="AL98" i="12"/>
  <c r="AD98" i="12"/>
  <c r="AK98" i="12"/>
  <c r="AC98" i="12"/>
  <c r="AJ98" i="12"/>
  <c r="DE98" i="12" s="1"/>
  <c r="AB98" i="12"/>
  <c r="DB98" i="12" s="1"/>
  <c r="AI98" i="12"/>
  <c r="AA98" i="12"/>
  <c r="AH98" i="12"/>
  <c r="AG98" i="12"/>
  <c r="DD98" i="12" s="1"/>
  <c r="AN98" i="12"/>
  <c r="AF98" i="12"/>
  <c r="DC98" i="12" s="1"/>
  <c r="AH146" i="13"/>
  <c r="AE146" i="13"/>
  <c r="AC146" i="13"/>
  <c r="AL146" i="13"/>
  <c r="AD146" i="13"/>
  <c r="AB146" i="13"/>
  <c r="DB146" i="13" s="1"/>
  <c r="AM146" i="13"/>
  <c r="AI146" i="13"/>
  <c r="AG146" i="13"/>
  <c r="DD146" i="13" s="1"/>
  <c r="AA146" i="13"/>
  <c r="AF146" i="13"/>
  <c r="DC146" i="13" s="1"/>
  <c r="AN146" i="13"/>
  <c r="AK146" i="13"/>
  <c r="AJ146" i="13"/>
  <c r="DE146" i="13" s="1"/>
  <c r="AK80" i="14"/>
  <c r="AG80" i="14"/>
  <c r="DD80" i="14" s="1"/>
  <c r="AC80" i="14"/>
  <c r="AN80" i="14"/>
  <c r="AJ80" i="14"/>
  <c r="DE80" i="14" s="1"/>
  <c r="AF80" i="14"/>
  <c r="DC80" i="14" s="1"/>
  <c r="AB80" i="14"/>
  <c r="DB80" i="14" s="1"/>
  <c r="AL80" i="14"/>
  <c r="AI80" i="14"/>
  <c r="AD80" i="14"/>
  <c r="AA80" i="14"/>
  <c r="AM80" i="14"/>
  <c r="AE80" i="14"/>
  <c r="AH80" i="14"/>
  <c r="AJ148" i="13"/>
  <c r="DE148" i="13" s="1"/>
  <c r="AF148" i="13"/>
  <c r="DC148" i="13" s="1"/>
  <c r="AC148" i="13"/>
  <c r="AN148" i="13"/>
  <c r="AK148" i="13"/>
  <c r="AD148" i="13"/>
  <c r="AA148" i="13"/>
  <c r="AE148" i="13"/>
  <c r="AI148" i="13"/>
  <c r="AM148" i="13"/>
  <c r="AG148" i="13"/>
  <c r="DD148" i="13" s="1"/>
  <c r="AH148" i="13"/>
  <c r="AB148" i="13"/>
  <c r="DB148" i="13" s="1"/>
  <c r="AL148" i="13"/>
  <c r="G75" i="12"/>
  <c r="BV74" i="12"/>
  <c r="DO74" i="12" s="1"/>
  <c r="BW74" i="12"/>
  <c r="DP74" i="12" s="1"/>
  <c r="BS74" i="12"/>
  <c r="CA74" i="12"/>
  <c r="BQ74" i="12"/>
  <c r="CD74" i="12"/>
  <c r="BY74" i="12"/>
  <c r="BT74" i="12"/>
  <c r="BX74" i="12"/>
  <c r="CB74" i="12"/>
  <c r="BR74" i="12"/>
  <c r="DN74" i="12" s="1"/>
  <c r="BU74" i="12"/>
  <c r="BZ74" i="12"/>
  <c r="DQ74" i="12" s="1"/>
  <c r="CC74" i="12"/>
  <c r="BW66" i="12"/>
  <c r="DP66" i="12" s="1"/>
  <c r="BV66" i="12"/>
  <c r="DO66" i="12" s="1"/>
  <c r="BU66" i="12"/>
  <c r="CC66" i="12"/>
  <c r="CD66" i="12"/>
  <c r="BX66" i="12"/>
  <c r="BY66" i="12"/>
  <c r="CA66" i="12"/>
  <c r="BS66" i="12"/>
  <c r="BQ66" i="12"/>
  <c r="CB66" i="12"/>
  <c r="BZ66" i="12"/>
  <c r="DQ66" i="12" s="1"/>
  <c r="BT66" i="12"/>
  <c r="BR66" i="12"/>
  <c r="DN66" i="12" s="1"/>
  <c r="BT110" i="13"/>
  <c r="CB110" i="13"/>
  <c r="BQ110" i="13"/>
  <c r="BU110" i="13"/>
  <c r="BY110" i="13"/>
  <c r="CC110" i="13"/>
  <c r="BZ110" i="13"/>
  <c r="DQ110" i="13" s="1"/>
  <c r="CD110" i="13"/>
  <c r="BS110" i="13"/>
  <c r="BX110" i="13"/>
  <c r="BR110" i="13"/>
  <c r="DN110" i="13" s="1"/>
  <c r="CA110" i="13"/>
  <c r="BV110" i="13"/>
  <c r="DO110" i="13" s="1"/>
  <c r="BW110" i="13"/>
  <c r="DP110" i="13" s="1"/>
  <c r="CD104" i="13"/>
  <c r="BT104" i="13"/>
  <c r="BX104" i="13"/>
  <c r="CB104" i="13"/>
  <c r="BQ104" i="13"/>
  <c r="BU104" i="13"/>
  <c r="BY104" i="13"/>
  <c r="CC104" i="13"/>
  <c r="BR104" i="13"/>
  <c r="DN104" i="13" s="1"/>
  <c r="BW104" i="13"/>
  <c r="DP104" i="13" s="1"/>
  <c r="BS104" i="13"/>
  <c r="BZ104" i="13"/>
  <c r="DQ104" i="13" s="1"/>
  <c r="CA104" i="13"/>
  <c r="BV104" i="13"/>
  <c r="DO104" i="13" s="1"/>
  <c r="AJ96" i="12"/>
  <c r="DE96" i="12" s="1"/>
  <c r="AB96" i="12"/>
  <c r="DB96" i="12" s="1"/>
  <c r="AG96" i="12"/>
  <c r="DD96" i="12" s="1"/>
  <c r="AH96" i="12"/>
  <c r="AC96" i="12"/>
  <c r="AA96" i="12"/>
  <c r="AI96" i="12"/>
  <c r="AD96" i="12"/>
  <c r="AE96" i="12"/>
  <c r="AF96" i="12"/>
  <c r="DC96" i="12" s="1"/>
  <c r="AK96" i="12"/>
  <c r="AL96" i="12"/>
  <c r="AM96" i="12"/>
  <c r="AN96" i="12"/>
  <c r="AI97" i="12"/>
  <c r="AJ97" i="12"/>
  <c r="DE97" i="12" s="1"/>
  <c r="AN97" i="12"/>
  <c r="AA97" i="12"/>
  <c r="AG97" i="12"/>
  <c r="DD97" i="12" s="1"/>
  <c r="AH97" i="12"/>
  <c r="AC97" i="12"/>
  <c r="AK97" i="12"/>
  <c r="AD97" i="12"/>
  <c r="AB97" i="12"/>
  <c r="DB97" i="12" s="1"/>
  <c r="AL97" i="12"/>
  <c r="AE97" i="12"/>
  <c r="AM97" i="12"/>
  <c r="AF97" i="12"/>
  <c r="DC97" i="12" s="1"/>
  <c r="AD150" i="13"/>
  <c r="AK150" i="13"/>
  <c r="AG150" i="13"/>
  <c r="DD150" i="13" s="1"/>
  <c r="AL150" i="13"/>
  <c r="AH150" i="13"/>
  <c r="AA150" i="13"/>
  <c r="AB150" i="13"/>
  <c r="DB150" i="13" s="1"/>
  <c r="AM150" i="13"/>
  <c r="AE150" i="13"/>
  <c r="AN150" i="13"/>
  <c r="AF150" i="13"/>
  <c r="DC150" i="13" s="1"/>
  <c r="AJ150" i="13"/>
  <c r="DE150" i="13" s="1"/>
  <c r="AI150" i="13"/>
  <c r="AC150" i="13"/>
  <c r="AK149" i="13"/>
  <c r="AB149" i="13"/>
  <c r="DB149" i="13" s="1"/>
  <c r="AD149" i="13"/>
  <c r="AJ149" i="13"/>
  <c r="DE149" i="13" s="1"/>
  <c r="AL149" i="13"/>
  <c r="AA149" i="13"/>
  <c r="AE149" i="13"/>
  <c r="AH149" i="13"/>
  <c r="AM149" i="13"/>
  <c r="AI149" i="13"/>
  <c r="AF149" i="13"/>
  <c r="DC149" i="13" s="1"/>
  <c r="AC149" i="13"/>
  <c r="AG149" i="13"/>
  <c r="DD149" i="13" s="1"/>
  <c r="AN149" i="13"/>
  <c r="AK152" i="13"/>
  <c r="AI152" i="13"/>
  <c r="AE152" i="13"/>
  <c r="AA152" i="13"/>
  <c r="AN152" i="13"/>
  <c r="AJ152" i="13"/>
  <c r="DE152" i="13" s="1"/>
  <c r="AF152" i="13"/>
  <c r="DC152" i="13" s="1"/>
  <c r="AB152" i="13"/>
  <c r="DB152" i="13" s="1"/>
  <c r="AC152" i="13"/>
  <c r="AL152" i="13"/>
  <c r="AG152" i="13"/>
  <c r="DD152" i="13" s="1"/>
  <c r="AD152" i="13"/>
  <c r="AH152" i="13"/>
  <c r="AM152" i="13"/>
  <c r="C63" i="12"/>
  <c r="C69" i="12"/>
  <c r="C66" i="12"/>
  <c r="C72" i="12"/>
  <c r="C64" i="12"/>
  <c r="C65" i="12"/>
  <c r="C71" i="12"/>
  <c r="C70" i="12"/>
  <c r="C62" i="12"/>
  <c r="C68" i="12"/>
  <c r="C73" i="12"/>
  <c r="C67" i="12"/>
  <c r="C74" i="12"/>
  <c r="E90" i="12"/>
  <c r="E88" i="12"/>
  <c r="E89" i="12"/>
  <c r="E93" i="12"/>
  <c r="E92" i="12"/>
  <c r="E97" i="12"/>
  <c r="E98" i="12"/>
  <c r="E94" i="12"/>
  <c r="E91" i="12"/>
  <c r="E95" i="12"/>
  <c r="E99" i="12"/>
  <c r="E96" i="12"/>
  <c r="E100" i="12"/>
  <c r="BR65" i="12"/>
  <c r="DN65" i="12" s="1"/>
  <c r="BQ65" i="12"/>
  <c r="CB65" i="12"/>
  <c r="BT65" i="12"/>
  <c r="BU65" i="12"/>
  <c r="BZ65" i="12"/>
  <c r="DQ65" i="12" s="1"/>
  <c r="CC65" i="12"/>
  <c r="BS65" i="12"/>
  <c r="BW65" i="12"/>
  <c r="DP65" i="12" s="1"/>
  <c r="BY65" i="12"/>
  <c r="BV65" i="12"/>
  <c r="DO65" i="12" s="1"/>
  <c r="BX65" i="12"/>
  <c r="CA65" i="12"/>
  <c r="CD65" i="12"/>
  <c r="BU67" i="12"/>
  <c r="BS67" i="12"/>
  <c r="CB67" i="12"/>
  <c r="CA67" i="12"/>
  <c r="BW67" i="12"/>
  <c r="DP67" i="12" s="1"/>
  <c r="BT67" i="12"/>
  <c r="BQ67" i="12"/>
  <c r="CD67" i="12"/>
  <c r="BY67" i="12"/>
  <c r="BV67" i="12"/>
  <c r="DO67" i="12" s="1"/>
  <c r="BZ67" i="12"/>
  <c r="DQ67" i="12" s="1"/>
  <c r="BX67" i="12"/>
  <c r="CC67" i="12"/>
  <c r="BR67" i="12"/>
  <c r="DN67" i="12" s="1"/>
  <c r="BQ106" i="13"/>
  <c r="BY106" i="13"/>
  <c r="BT106" i="13"/>
  <c r="BR106" i="13"/>
  <c r="DN106" i="13" s="1"/>
  <c r="CB106" i="13"/>
  <c r="BZ106" i="13"/>
  <c r="DQ106" i="13" s="1"/>
  <c r="BV106" i="13"/>
  <c r="DO106" i="13" s="1"/>
  <c r="BS106" i="13"/>
  <c r="CD106" i="13"/>
  <c r="CA106" i="13"/>
  <c r="BX106" i="13"/>
  <c r="BU106" i="13"/>
  <c r="BW106" i="13"/>
  <c r="DP106" i="13" s="1"/>
  <c r="CC106" i="13"/>
  <c r="BZ112" i="13"/>
  <c r="DQ112" i="13" s="1"/>
  <c r="BY112" i="13"/>
  <c r="BR112" i="13"/>
  <c r="DN112" i="13" s="1"/>
  <c r="BW112" i="13"/>
  <c r="DP112" i="13" s="1"/>
  <c r="CB112" i="13"/>
  <c r="BX112" i="13"/>
  <c r="BT112" i="13"/>
  <c r="CC112" i="13"/>
  <c r="CA112" i="13"/>
  <c r="CD112" i="13"/>
  <c r="BS112" i="13"/>
  <c r="BQ112" i="13"/>
  <c r="BU112" i="13"/>
  <c r="BV112" i="13"/>
  <c r="DO112" i="13" s="1"/>
  <c r="AI95" i="12"/>
  <c r="AJ95" i="12"/>
  <c r="DE95" i="12" s="1"/>
  <c r="AE95" i="12"/>
  <c r="AC95" i="12"/>
  <c r="AM95" i="12"/>
  <c r="AK95" i="12"/>
  <c r="AF95" i="12"/>
  <c r="DC95" i="12" s="1"/>
  <c r="AN95" i="12"/>
  <c r="AB95" i="12"/>
  <c r="DB95" i="12" s="1"/>
  <c r="AG95" i="12"/>
  <c r="DD95" i="12" s="1"/>
  <c r="AH95" i="12"/>
  <c r="AA95" i="12"/>
  <c r="AD95" i="12"/>
  <c r="AL95" i="12"/>
  <c r="AJ88" i="12"/>
  <c r="DE88" i="12" s="1"/>
  <c r="AK88" i="12"/>
  <c r="AG88" i="12"/>
  <c r="DD88" i="12" s="1"/>
  <c r="AH88" i="12"/>
  <c r="AA88" i="12"/>
  <c r="AC88" i="12"/>
  <c r="AI88" i="12"/>
  <c r="AD88" i="12"/>
  <c r="AE88" i="12"/>
  <c r="AF88" i="12"/>
  <c r="DC88" i="12" s="1"/>
  <c r="AL88" i="12"/>
  <c r="AM88" i="12"/>
  <c r="AN88" i="12"/>
  <c r="AB88" i="12"/>
  <c r="DB88" i="12" s="1"/>
  <c r="AD154" i="13"/>
  <c r="AL154" i="13"/>
  <c r="AA154" i="13"/>
  <c r="AE154" i="13"/>
  <c r="AI154" i="13"/>
  <c r="AM154" i="13"/>
  <c r="AB154" i="13"/>
  <c r="DB154" i="13" s="1"/>
  <c r="AF154" i="13"/>
  <c r="DC154" i="13" s="1"/>
  <c r="AJ154" i="13"/>
  <c r="DE154" i="13" s="1"/>
  <c r="AN154" i="13"/>
  <c r="AK154" i="13"/>
  <c r="AH154" i="13"/>
  <c r="AC154" i="13"/>
  <c r="AG154" i="13"/>
  <c r="DD154" i="13" s="1"/>
  <c r="AI153" i="13"/>
  <c r="AE153" i="13"/>
  <c r="AB153" i="13"/>
  <c r="DB153" i="13" s="1"/>
  <c r="AM153" i="13"/>
  <c r="AJ153" i="13"/>
  <c r="DE153" i="13" s="1"/>
  <c r="AF153" i="13"/>
  <c r="DC153" i="13" s="1"/>
  <c r="AC153" i="13"/>
  <c r="AN153" i="13"/>
  <c r="AK153" i="13"/>
  <c r="AG153" i="13"/>
  <c r="DD153" i="13" s="1"/>
  <c r="AD153" i="13"/>
  <c r="AL153" i="13"/>
  <c r="AH153" i="13"/>
  <c r="AA153" i="13"/>
  <c r="AM156" i="13"/>
  <c r="AB156" i="13"/>
  <c r="DB156" i="13" s="1"/>
  <c r="AI156" i="13"/>
  <c r="AJ156" i="13"/>
  <c r="DE156" i="13" s="1"/>
  <c r="AE156" i="13"/>
  <c r="AA156" i="13"/>
  <c r="AN156" i="13"/>
  <c r="AK156" i="13"/>
  <c r="AF156" i="13"/>
  <c r="DC156" i="13" s="1"/>
  <c r="AC156" i="13"/>
  <c r="AG156" i="13"/>
  <c r="DD156" i="13" s="1"/>
  <c r="AL156" i="13"/>
  <c r="AD156" i="13"/>
  <c r="AH156" i="13"/>
  <c r="AM83" i="14"/>
  <c r="AI83" i="14"/>
  <c r="AE83" i="14"/>
  <c r="AA83" i="14"/>
  <c r="AL83" i="14"/>
  <c r="AH83" i="14"/>
  <c r="AD83" i="14"/>
  <c r="AG83" i="14"/>
  <c r="DD83" i="14" s="1"/>
  <c r="AK83" i="14"/>
  <c r="AC83" i="14"/>
  <c r="AJ83" i="14"/>
  <c r="DE83" i="14" s="1"/>
  <c r="AF83" i="14"/>
  <c r="DC83" i="14" s="1"/>
  <c r="AN83" i="14"/>
  <c r="AB83" i="14"/>
  <c r="DB83" i="14" s="1"/>
  <c r="E64" i="12"/>
  <c r="E65" i="12"/>
  <c r="E68" i="12"/>
  <c r="E73" i="12"/>
  <c r="E63" i="12"/>
  <c r="E62" i="12"/>
  <c r="E66" i="12"/>
  <c r="E71" i="12"/>
  <c r="E72" i="12"/>
  <c r="E69" i="12"/>
  <c r="E70" i="12"/>
  <c r="E67" i="12"/>
  <c r="E74" i="12"/>
  <c r="Q8" i="7"/>
  <c r="BS62" i="12"/>
  <c r="BW62" i="12"/>
  <c r="DP62" i="12" s="1"/>
  <c r="BX62" i="12"/>
  <c r="BV62" i="12"/>
  <c r="DO62" i="12" s="1"/>
  <c r="BU62" i="12"/>
  <c r="BZ62" i="12"/>
  <c r="DQ62" i="12" s="1"/>
  <c r="BY62" i="12"/>
  <c r="CB62" i="12"/>
  <c r="CA62" i="12"/>
  <c r="BR62" i="12"/>
  <c r="DN62" i="12" s="1"/>
  <c r="BQ62" i="12"/>
  <c r="BT62" i="12"/>
  <c r="CD62" i="12"/>
  <c r="CC62" i="12"/>
  <c r="BU63" i="12"/>
  <c r="BR63" i="12"/>
  <c r="DN63" i="12" s="1"/>
  <c r="CC63" i="12"/>
  <c r="BS63" i="12"/>
  <c r="BV63" i="12"/>
  <c r="DO63" i="12" s="1"/>
  <c r="CB63" i="12"/>
  <c r="BT63" i="12"/>
  <c r="BQ63" i="12"/>
  <c r="BZ63" i="12"/>
  <c r="DQ63" i="12" s="1"/>
  <c r="BX63" i="12"/>
  <c r="BW63" i="12"/>
  <c r="DP63" i="12" s="1"/>
  <c r="BY63" i="12"/>
  <c r="CA63" i="12"/>
  <c r="CD63" i="12"/>
  <c r="BU103" i="13"/>
  <c r="CA103" i="13"/>
  <c r="CC103" i="13"/>
  <c r="BS103" i="13"/>
  <c r="BV103" i="13"/>
  <c r="DO103" i="13" s="1"/>
  <c r="CD103" i="13"/>
  <c r="BZ103" i="13"/>
  <c r="DQ103" i="13" s="1"/>
  <c r="BX103" i="13"/>
  <c r="BT103" i="13"/>
  <c r="BQ103" i="13"/>
  <c r="BW103" i="13"/>
  <c r="DP103" i="13" s="1"/>
  <c r="BR103" i="13"/>
  <c r="DN103" i="13" s="1"/>
  <c r="CB103" i="13"/>
  <c r="BY103" i="13"/>
  <c r="CD114" i="13"/>
  <c r="BR114" i="13"/>
  <c r="DN114" i="13" s="1"/>
  <c r="BW114" i="13"/>
  <c r="DP114" i="13" s="1"/>
  <c r="BX114" i="13"/>
  <c r="BT114" i="13"/>
  <c r="BS114" i="13"/>
  <c r="CB114" i="13"/>
  <c r="CA114" i="13"/>
  <c r="BU114" i="13"/>
  <c r="BY114" i="13"/>
  <c r="CC114" i="13"/>
  <c r="BV114" i="13"/>
  <c r="DO114" i="13" s="1"/>
  <c r="BQ114" i="13"/>
  <c r="BZ114" i="13"/>
  <c r="DQ114" i="13" s="1"/>
  <c r="AK99" i="12"/>
  <c r="AF99" i="12"/>
  <c r="DC99" i="12" s="1"/>
  <c r="AL99" i="12"/>
  <c r="AN99" i="12"/>
  <c r="AG99" i="12"/>
  <c r="DD99" i="12" s="1"/>
  <c r="AE99" i="12"/>
  <c r="AM99" i="12"/>
  <c r="AH99" i="12"/>
  <c r="AD99" i="12"/>
  <c r="AA99" i="12"/>
  <c r="AB99" i="12"/>
  <c r="DB99" i="12" s="1"/>
  <c r="AC99" i="12"/>
  <c r="AI99" i="12"/>
  <c r="AJ99" i="12"/>
  <c r="DE99" i="12" s="1"/>
  <c r="AI90" i="12"/>
  <c r="AA90" i="12"/>
  <c r="AH90" i="12"/>
  <c r="AG90" i="12"/>
  <c r="DD90" i="12" s="1"/>
  <c r="AN90" i="12"/>
  <c r="AF90" i="12"/>
  <c r="DC90" i="12" s="1"/>
  <c r="AM90" i="12"/>
  <c r="AE90" i="12"/>
  <c r="AL90" i="12"/>
  <c r="AD90" i="12"/>
  <c r="AK90" i="12"/>
  <c r="AC90" i="12"/>
  <c r="AJ90" i="12"/>
  <c r="DE90" i="12" s="1"/>
  <c r="AB90" i="12"/>
  <c r="DB90" i="12" s="1"/>
  <c r="AB158" i="13"/>
  <c r="DB158" i="13" s="1"/>
  <c r="AM158" i="13"/>
  <c r="AJ158" i="13"/>
  <c r="DE158" i="13" s="1"/>
  <c r="AF158" i="13"/>
  <c r="DC158" i="13" s="1"/>
  <c r="AD158" i="13"/>
  <c r="AN158" i="13"/>
  <c r="AH158" i="13"/>
  <c r="AG158" i="13"/>
  <c r="DD158" i="13" s="1"/>
  <c r="AC158" i="13"/>
  <c r="AK158" i="13"/>
  <c r="AE158" i="13"/>
  <c r="AA158" i="13"/>
  <c r="AL158" i="13"/>
  <c r="AI158" i="13"/>
  <c r="AB157" i="13"/>
  <c r="DB157" i="13" s="1"/>
  <c r="AF157" i="13"/>
  <c r="DC157" i="13" s="1"/>
  <c r="AJ157" i="13"/>
  <c r="DE157" i="13" s="1"/>
  <c r="AC157" i="13"/>
  <c r="AG157" i="13"/>
  <c r="DD157" i="13" s="1"/>
  <c r="AK157" i="13"/>
  <c r="AH157" i="13"/>
  <c r="AD157" i="13"/>
  <c r="AA157" i="13"/>
  <c r="AL157" i="13"/>
  <c r="AI157" i="13"/>
  <c r="AN157" i="13"/>
  <c r="AM157" i="13"/>
  <c r="AE157" i="13"/>
  <c r="AE81" i="14"/>
  <c r="AI81" i="14"/>
  <c r="AL81" i="14"/>
  <c r="AA81" i="14"/>
  <c r="AD81" i="14"/>
  <c r="AH81" i="14"/>
  <c r="AG81" i="14"/>
  <c r="DD81" i="14" s="1"/>
  <c r="AN81" i="14"/>
  <c r="AK81" i="14"/>
  <c r="AF81" i="14"/>
  <c r="DC81" i="14" s="1"/>
  <c r="AC81" i="14"/>
  <c r="AM81" i="14"/>
  <c r="AB81" i="14"/>
  <c r="DB81" i="14" s="1"/>
  <c r="AJ81" i="14"/>
  <c r="DE81" i="14" s="1"/>
  <c r="BU73" i="12"/>
  <c r="CB73" i="12"/>
  <c r="BW73" i="12"/>
  <c r="DP73" i="12" s="1"/>
  <c r="BS73" i="12"/>
  <c r="BZ73" i="12"/>
  <c r="DQ73" i="12" s="1"/>
  <c r="BY73" i="12"/>
  <c r="CD73" i="12"/>
  <c r="BR73" i="12"/>
  <c r="DN73" i="12" s="1"/>
  <c r="BQ73" i="12"/>
  <c r="CA73" i="12"/>
  <c r="BX73" i="12"/>
  <c r="BV73" i="12"/>
  <c r="DO73" i="12" s="1"/>
  <c r="CC73" i="12"/>
  <c r="BT73" i="12"/>
  <c r="BY105" i="13"/>
  <c r="CD105" i="13"/>
  <c r="BS105" i="13"/>
  <c r="BW105" i="13"/>
  <c r="DP105" i="13" s="1"/>
  <c r="CA105" i="13"/>
  <c r="BX105" i="13"/>
  <c r="BT105" i="13"/>
  <c r="BZ105" i="13"/>
  <c r="DQ105" i="13" s="1"/>
  <c r="CB105" i="13"/>
  <c r="BR105" i="13"/>
  <c r="DN105" i="13" s="1"/>
  <c r="BU105" i="13"/>
  <c r="CC105" i="13"/>
  <c r="BV105" i="13"/>
  <c r="DO105" i="13" s="1"/>
  <c r="BQ105" i="13"/>
  <c r="D72" i="12"/>
  <c r="D69" i="12"/>
  <c r="D70" i="12"/>
  <c r="D64" i="12"/>
  <c r="D65" i="12"/>
  <c r="D71" i="12"/>
  <c r="D68" i="12"/>
  <c r="D73" i="12"/>
  <c r="D63" i="12"/>
  <c r="D67" i="12"/>
  <c r="D66" i="12"/>
  <c r="D62" i="12"/>
  <c r="D74" i="12"/>
  <c r="G90" i="12"/>
  <c r="G98" i="12"/>
  <c r="G89" i="12"/>
  <c r="G92" i="12"/>
  <c r="G94" i="12"/>
  <c r="G97" i="12"/>
  <c r="G88" i="12"/>
  <c r="G93" i="12"/>
  <c r="G96" i="12"/>
  <c r="G99" i="12"/>
  <c r="G91" i="12"/>
  <c r="G95" i="12"/>
  <c r="G100" i="12"/>
  <c r="BS68" i="12"/>
  <c r="BQ68" i="12"/>
  <c r="BU68" i="12"/>
  <c r="BR68" i="12"/>
  <c r="DN68" i="12" s="1"/>
  <c r="CB68" i="12"/>
  <c r="BY68" i="12"/>
  <c r="BZ68" i="12"/>
  <c r="DQ68" i="12" s="1"/>
  <c r="BW68" i="12"/>
  <c r="DP68" i="12" s="1"/>
  <c r="BT68" i="12"/>
  <c r="CC68" i="12"/>
  <c r="CD68" i="12"/>
  <c r="BV68" i="12"/>
  <c r="DO68" i="12" s="1"/>
  <c r="CA68" i="12"/>
  <c r="BX68" i="12"/>
  <c r="BQ72" i="12"/>
  <c r="BV72" i="12"/>
  <c r="DO72" i="12" s="1"/>
  <c r="CC72" i="12"/>
  <c r="BS72" i="12"/>
  <c r="BR72" i="12"/>
  <c r="DN72" i="12" s="1"/>
  <c r="BY72" i="12"/>
  <c r="BU72" i="12"/>
  <c r="BT72" i="12"/>
  <c r="CB72" i="12"/>
  <c r="BX72" i="12"/>
  <c r="BW72" i="12"/>
  <c r="DP72" i="12" s="1"/>
  <c r="CD72" i="12"/>
  <c r="CA72" i="12"/>
  <c r="BZ72" i="12"/>
  <c r="DQ72" i="12" s="1"/>
  <c r="BY107" i="13"/>
  <c r="BR107" i="13"/>
  <c r="DN107" i="13" s="1"/>
  <c r="BS107" i="13"/>
  <c r="BU107" i="13"/>
  <c r="CA107" i="13"/>
  <c r="BW107" i="13"/>
  <c r="DP107" i="13" s="1"/>
  <c r="BT107" i="13"/>
  <c r="BZ107" i="13"/>
  <c r="DQ107" i="13" s="1"/>
  <c r="CB107" i="13"/>
  <c r="BX107" i="13"/>
  <c r="CD107" i="13"/>
  <c r="BQ107" i="13"/>
  <c r="BV107" i="13"/>
  <c r="DO107" i="13" s="1"/>
  <c r="CC107" i="13"/>
  <c r="BR36" i="14"/>
  <c r="DN36" i="14" s="1"/>
  <c r="BX36" i="14"/>
  <c r="BS36" i="14"/>
  <c r="BW36" i="14"/>
  <c r="DP36" i="14" s="1"/>
  <c r="CA36" i="14"/>
  <c r="BY36" i="14"/>
  <c r="BV36" i="14"/>
  <c r="DO36" i="14" s="1"/>
  <c r="CC36" i="14"/>
  <c r="CD36" i="14"/>
  <c r="BU36" i="14"/>
  <c r="BQ36" i="14"/>
  <c r="CB36" i="14"/>
  <c r="BZ36" i="14"/>
  <c r="DQ36" i="14" s="1"/>
  <c r="BT36" i="14"/>
  <c r="BR108" i="13"/>
  <c r="DN108" i="13" s="1"/>
  <c r="BV108" i="13"/>
  <c r="DO108" i="13" s="1"/>
  <c r="BZ108" i="13"/>
  <c r="DQ108" i="13" s="1"/>
  <c r="CD108" i="13"/>
  <c r="BS108" i="13"/>
  <c r="BX108" i="13"/>
  <c r="CA108" i="13"/>
  <c r="BW108" i="13"/>
  <c r="DP108" i="13" s="1"/>
  <c r="CB108" i="13"/>
  <c r="BQ108" i="13"/>
  <c r="BU108" i="13"/>
  <c r="BY108" i="13"/>
  <c r="BT108" i="13"/>
  <c r="CC108" i="13"/>
  <c r="AM93" i="12"/>
  <c r="AK93" i="12"/>
  <c r="AD93" i="12"/>
  <c r="AL93" i="12"/>
  <c r="AG93" i="12"/>
  <c r="DD93" i="12" s="1"/>
  <c r="AH93" i="12"/>
  <c r="AA93" i="12"/>
  <c r="AF93" i="12"/>
  <c r="DC93" i="12" s="1"/>
  <c r="AI93" i="12"/>
  <c r="AB93" i="12"/>
  <c r="DB93" i="12" s="1"/>
  <c r="AJ93" i="12"/>
  <c r="DE93" i="12" s="1"/>
  <c r="AN93" i="12"/>
  <c r="AC93" i="12"/>
  <c r="AE93" i="12"/>
  <c r="AJ84" i="14"/>
  <c r="DE84" i="14" s="1"/>
  <c r="AF84" i="14"/>
  <c r="DC84" i="14" s="1"/>
  <c r="AB84" i="14"/>
  <c r="DB84" i="14" s="1"/>
  <c r="AL84" i="14"/>
  <c r="AA84" i="14"/>
  <c r="AE84" i="14"/>
  <c r="AH84" i="14"/>
  <c r="AK84" i="14"/>
  <c r="AG84" i="14"/>
  <c r="DD84" i="14" s="1"/>
  <c r="AC84" i="14"/>
  <c r="AI84" i="14"/>
  <c r="AM84" i="14"/>
  <c r="AN84" i="14"/>
  <c r="AD84" i="14"/>
  <c r="AN79" i="14"/>
  <c r="AB79" i="14"/>
  <c r="DB79" i="14" s="1"/>
  <c r="AF79" i="14"/>
  <c r="DC79" i="14" s="1"/>
  <c r="AM79" i="14"/>
  <c r="AI79" i="14"/>
  <c r="AE79" i="14"/>
  <c r="AA79" i="14"/>
  <c r="AL79" i="14"/>
  <c r="AH79" i="14"/>
  <c r="AD79" i="14"/>
  <c r="AC79" i="14"/>
  <c r="AJ79" i="14"/>
  <c r="DE79" i="14" s="1"/>
  <c r="AG79" i="14"/>
  <c r="DD79" i="14" s="1"/>
  <c r="AK79" i="14"/>
  <c r="AN82" i="14"/>
  <c r="AA82" i="14"/>
  <c r="AF82" i="14"/>
  <c r="DC82" i="14" s="1"/>
  <c r="AJ82" i="14"/>
  <c r="DE82" i="14" s="1"/>
  <c r="AE82" i="14"/>
  <c r="AH82" i="14"/>
  <c r="AL82" i="14"/>
  <c r="AG82" i="14"/>
  <c r="DD82" i="14" s="1"/>
  <c r="AK82" i="14"/>
  <c r="AC82" i="14"/>
  <c r="AB82" i="14"/>
  <c r="DB82" i="14" s="1"/>
  <c r="AM82" i="14"/>
  <c r="AI82" i="14"/>
  <c r="AD82" i="14"/>
  <c r="AC85" i="14"/>
  <c r="AJ85" i="14"/>
  <c r="DE85" i="14" s="1"/>
  <c r="AM85" i="14"/>
  <c r="AB85" i="14"/>
  <c r="DB85" i="14" s="1"/>
  <c r="AE85" i="14"/>
  <c r="AI85" i="14"/>
  <c r="AL85" i="14"/>
  <c r="AA85" i="14"/>
  <c r="AD85" i="14"/>
  <c r="AH85" i="14"/>
  <c r="AK85" i="14"/>
  <c r="AF85" i="14"/>
  <c r="DC85" i="14" s="1"/>
  <c r="AN85" i="14"/>
  <c r="AG85" i="14"/>
  <c r="DD85" i="14" s="1"/>
  <c r="X9" i="7"/>
  <c r="Q5" i="7"/>
  <c r="Q12" i="7" s="1"/>
  <c r="Q13" i="7" s="1"/>
  <c r="V9" i="7"/>
  <c r="T9" i="7"/>
  <c r="G269" i="8"/>
  <c r="P274" i="8"/>
  <c r="P299" i="8" s="1"/>
  <c r="G277" i="8"/>
  <c r="H277" i="8"/>
  <c r="H269" i="8"/>
  <c r="G279" i="8"/>
  <c r="O270" i="8"/>
  <c r="H283" i="8"/>
  <c r="Q270" i="8"/>
  <c r="P284" i="8"/>
  <c r="P305" i="8" s="1"/>
  <c r="H273" i="8"/>
  <c r="H287" i="8"/>
  <c r="E274" i="8"/>
  <c r="P282" i="8"/>
  <c r="P304" i="8" s="1"/>
  <c r="E270" i="8"/>
  <c r="O274" i="8"/>
  <c r="E278" i="8"/>
  <c r="Q282" i="8"/>
  <c r="P270" i="8"/>
  <c r="P297" i="8" s="1"/>
  <c r="Q274" i="8"/>
  <c r="H279" i="8"/>
  <c r="E284" i="8"/>
  <c r="O268" i="8"/>
  <c r="H275" i="8"/>
  <c r="E280" i="8"/>
  <c r="H281" i="8"/>
  <c r="P268" i="8"/>
  <c r="P296" i="8" s="1"/>
  <c r="E272" i="8"/>
  <c r="P276" i="8"/>
  <c r="P300" i="8" s="1"/>
  <c r="P280" i="8"/>
  <c r="P303" i="8" s="1"/>
  <c r="Q284" i="8"/>
  <c r="Q268" i="8"/>
  <c r="G273" i="8"/>
  <c r="Q276" i="8"/>
  <c r="Q280" i="8"/>
  <c r="E286" i="8"/>
  <c r="Q278" i="8"/>
  <c r="E269" i="8"/>
  <c r="Q269" i="8"/>
  <c r="E271" i="8"/>
  <c r="Q271" i="8"/>
  <c r="E273" i="8"/>
  <c r="Q273" i="8"/>
  <c r="Q298" i="8" s="1"/>
  <c r="E275" i="8"/>
  <c r="Q275" i="8"/>
  <c r="E277" i="8"/>
  <c r="Q277" i="8"/>
  <c r="E279" i="8"/>
  <c r="Q279" i="8"/>
  <c r="E281" i="8"/>
  <c r="Q281" i="8"/>
  <c r="E283" i="8"/>
  <c r="Q283" i="8"/>
  <c r="E285" i="8"/>
  <c r="Q285" i="8"/>
  <c r="E287" i="8"/>
  <c r="Q287" i="8"/>
  <c r="E268" i="8"/>
  <c r="E276" i="8"/>
  <c r="Q286" i="8"/>
  <c r="R269" i="8"/>
  <c r="F271" i="8"/>
  <c r="R271" i="8"/>
  <c r="R273" i="8"/>
  <c r="F275" i="8"/>
  <c r="R275" i="8"/>
  <c r="R277" i="8"/>
  <c r="R279" i="8"/>
  <c r="F281" i="8"/>
  <c r="R281" i="8"/>
  <c r="F283" i="8"/>
  <c r="R283" i="8"/>
  <c r="F285" i="8"/>
  <c r="R285" i="8"/>
  <c r="F287" i="8"/>
  <c r="R287" i="8"/>
  <c r="G271" i="8"/>
  <c r="O272" i="8"/>
  <c r="O276" i="8"/>
  <c r="O278" i="8"/>
  <c r="O280" i="8"/>
  <c r="O282" i="8"/>
  <c r="O284" i="8"/>
  <c r="G285" i="8"/>
  <c r="O286" i="8"/>
  <c r="P272" i="8"/>
  <c r="P298" i="8" s="1"/>
  <c r="P278" i="8"/>
  <c r="P302" i="8" s="1"/>
  <c r="P286" i="8"/>
  <c r="P306" i="8" s="1"/>
  <c r="F268" i="8"/>
  <c r="F296" i="8" s="1"/>
  <c r="F270" i="8"/>
  <c r="F272" i="8"/>
  <c r="F298" i="8" s="1"/>
  <c r="R272" i="8"/>
  <c r="F274" i="8"/>
  <c r="F276" i="8"/>
  <c r="F300" i="8" s="1"/>
  <c r="F278" i="8"/>
  <c r="F302" i="8" s="1"/>
  <c r="F280" i="8"/>
  <c r="F282" i="8"/>
  <c r="F284" i="8"/>
  <c r="F286" i="8"/>
  <c r="F306" i="8" s="1"/>
  <c r="G268" i="8"/>
  <c r="O269" i="8"/>
  <c r="G270" i="8"/>
  <c r="O271" i="8"/>
  <c r="O297" i="8" s="1"/>
  <c r="G272" i="8"/>
  <c r="O273" i="8"/>
  <c r="G274" i="8"/>
  <c r="G299" i="8" s="1"/>
  <c r="O275" i="8"/>
  <c r="G276" i="8"/>
  <c r="O277" i="8"/>
  <c r="G278" i="8"/>
  <c r="G302" i="8" s="1"/>
  <c r="O279" i="8"/>
  <c r="G280" i="8"/>
  <c r="G303" i="8" s="1"/>
  <c r="O281" i="8"/>
  <c r="G282" i="8"/>
  <c r="G304" i="8" s="1"/>
  <c r="O283" i="8"/>
  <c r="G284" i="8"/>
  <c r="O285" i="8"/>
  <c r="G286" i="8"/>
  <c r="G306" i="8" s="1"/>
  <c r="O287" i="8"/>
  <c r="E282" i="8"/>
  <c r="G20" i="5"/>
  <c r="F20" i="5"/>
  <c r="G19" i="5"/>
  <c r="F19" i="5"/>
  <c r="G18" i="5"/>
  <c r="F18" i="5"/>
  <c r="G17" i="5"/>
  <c r="F17" i="5"/>
  <c r="S40" i="1"/>
  <c r="R40" i="1"/>
  <c r="Q40" i="1"/>
  <c r="P40" i="1"/>
  <c r="O40" i="1"/>
  <c r="N40" i="1"/>
  <c r="S39" i="1"/>
  <c r="R39" i="1"/>
  <c r="Q39" i="1"/>
  <c r="P39" i="1"/>
  <c r="O39" i="1"/>
  <c r="N39" i="1"/>
  <c r="S38" i="1"/>
  <c r="R38" i="1"/>
  <c r="Q38" i="1"/>
  <c r="P38" i="1"/>
  <c r="O38" i="1"/>
  <c r="N38" i="1"/>
  <c r="S37" i="1"/>
  <c r="R37" i="1"/>
  <c r="Q37" i="1"/>
  <c r="P37" i="1"/>
  <c r="O37" i="1"/>
  <c r="N37" i="1"/>
  <c r="S36" i="1"/>
  <c r="R36" i="1"/>
  <c r="Q36" i="1"/>
  <c r="P36" i="1"/>
  <c r="O36" i="1"/>
  <c r="N36" i="1"/>
  <c r="S35" i="1"/>
  <c r="R35" i="1"/>
  <c r="Q35" i="1"/>
  <c r="P35" i="1"/>
  <c r="O35" i="1"/>
  <c r="N35" i="1"/>
  <c r="S34" i="1"/>
  <c r="R34" i="1"/>
  <c r="Q34" i="1"/>
  <c r="P34" i="1"/>
  <c r="O34" i="1"/>
  <c r="N34" i="1"/>
  <c r="S33" i="1"/>
  <c r="R33" i="1"/>
  <c r="Q33" i="1"/>
  <c r="P33" i="1"/>
  <c r="O33" i="1"/>
  <c r="N33" i="1"/>
  <c r="S32" i="1"/>
  <c r="R32" i="1"/>
  <c r="Q32" i="1"/>
  <c r="P32" i="1"/>
  <c r="O32" i="1"/>
  <c r="N32" i="1"/>
  <c r="S31" i="1"/>
  <c r="R31" i="1"/>
  <c r="Q31" i="1"/>
  <c r="P31" i="1"/>
  <c r="O31" i="1"/>
  <c r="N31" i="1"/>
  <c r="S30" i="1"/>
  <c r="R30" i="1"/>
  <c r="Q30" i="1"/>
  <c r="P30" i="1"/>
  <c r="O30" i="1"/>
  <c r="N30" i="1"/>
  <c r="S29" i="1"/>
  <c r="R29" i="1"/>
  <c r="Q29" i="1"/>
  <c r="P29" i="1"/>
  <c r="O29" i="1"/>
  <c r="N29" i="1"/>
  <c r="S28" i="1"/>
  <c r="R28" i="1"/>
  <c r="Q28" i="1"/>
  <c r="P28" i="1"/>
  <c r="O28" i="1"/>
  <c r="N28" i="1"/>
  <c r="AQ92" i="4"/>
  <c r="AQ91" i="4"/>
  <c r="AQ90" i="4"/>
  <c r="AQ89" i="4"/>
  <c r="AQ88" i="4"/>
  <c r="AQ87" i="4"/>
  <c r="AQ86" i="4"/>
  <c r="AQ85" i="4"/>
  <c r="AQ84" i="4"/>
  <c r="AQ83" i="4"/>
  <c r="AQ82" i="4"/>
  <c r="AQ81" i="4"/>
  <c r="AQ74" i="4"/>
  <c r="AQ73" i="4"/>
  <c r="AQ72" i="4"/>
  <c r="AQ71" i="4"/>
  <c r="AQ70" i="4"/>
  <c r="AQ69" i="4"/>
  <c r="AQ68" i="4"/>
  <c r="AQ67" i="4"/>
  <c r="AQ66" i="4"/>
  <c r="AQ65" i="4"/>
  <c r="AQ64" i="4"/>
  <c r="AQ63" i="4"/>
  <c r="AP92" i="4"/>
  <c r="AP91" i="4"/>
  <c r="AP90" i="4"/>
  <c r="AP89" i="4"/>
  <c r="AP88" i="4"/>
  <c r="AP87" i="4"/>
  <c r="AP86" i="4"/>
  <c r="AP85" i="4"/>
  <c r="AP84" i="4"/>
  <c r="AP83" i="4"/>
  <c r="AP82" i="4"/>
  <c r="AP81" i="4"/>
  <c r="AP74" i="4"/>
  <c r="AP73" i="4"/>
  <c r="AP72" i="4"/>
  <c r="AP71" i="4"/>
  <c r="AP70" i="4"/>
  <c r="AP69" i="4"/>
  <c r="AP68" i="4"/>
  <c r="AP67" i="4"/>
  <c r="AP66" i="4"/>
  <c r="AP65" i="4"/>
  <c r="AP64" i="4"/>
  <c r="AP63" i="4"/>
  <c r="AO92" i="4"/>
  <c r="AO91" i="4"/>
  <c r="AO90" i="4"/>
  <c r="AO89" i="4"/>
  <c r="AO88" i="4"/>
  <c r="AO87" i="4"/>
  <c r="AO86" i="4"/>
  <c r="AO85" i="4"/>
  <c r="AO84" i="4"/>
  <c r="AO83" i="4"/>
  <c r="AO82" i="4"/>
  <c r="AO81" i="4"/>
  <c r="AO74" i="4"/>
  <c r="AO73" i="4"/>
  <c r="AO72" i="4"/>
  <c r="AO71" i="4"/>
  <c r="AO70" i="4"/>
  <c r="AO69" i="4"/>
  <c r="AO68" i="4"/>
  <c r="AO67" i="4"/>
  <c r="AO66" i="4"/>
  <c r="AO65" i="4"/>
  <c r="AO64" i="4"/>
  <c r="AO63" i="4"/>
  <c r="AG92" i="4"/>
  <c r="AG91" i="4"/>
  <c r="AG90" i="4"/>
  <c r="AG89" i="4"/>
  <c r="AG88" i="4"/>
  <c r="AG87" i="4"/>
  <c r="AG86" i="4"/>
  <c r="AG85" i="4"/>
  <c r="AG84" i="4"/>
  <c r="AG83" i="4"/>
  <c r="AG82" i="4"/>
  <c r="AG81" i="4"/>
  <c r="AG74" i="4"/>
  <c r="AG73" i="4"/>
  <c r="AG72" i="4"/>
  <c r="AG71" i="4"/>
  <c r="AG70" i="4"/>
  <c r="AG69" i="4"/>
  <c r="AG68" i="4"/>
  <c r="AG67" i="4"/>
  <c r="AG66" i="4"/>
  <c r="AG65" i="4"/>
  <c r="AG64" i="4"/>
  <c r="AG63" i="4"/>
  <c r="AF92" i="4"/>
  <c r="AF91" i="4"/>
  <c r="AF90" i="4"/>
  <c r="AF89" i="4"/>
  <c r="AF88" i="4"/>
  <c r="AF87" i="4"/>
  <c r="AF86" i="4"/>
  <c r="AF85" i="4"/>
  <c r="AF84" i="4"/>
  <c r="AF83" i="4"/>
  <c r="AF82" i="4"/>
  <c r="AF81" i="4"/>
  <c r="AF74" i="4"/>
  <c r="AF73" i="4"/>
  <c r="AF72" i="4"/>
  <c r="AF71" i="4"/>
  <c r="AF70" i="4"/>
  <c r="AF69" i="4"/>
  <c r="AF68" i="4"/>
  <c r="AF67" i="4"/>
  <c r="AF66" i="4"/>
  <c r="AF65" i="4"/>
  <c r="AF64" i="4"/>
  <c r="AF63" i="4"/>
  <c r="AE90" i="4"/>
  <c r="AE92" i="4"/>
  <c r="AE91" i="4"/>
  <c r="AE89" i="4"/>
  <c r="AE88" i="4"/>
  <c r="AE87" i="4"/>
  <c r="AE86" i="4"/>
  <c r="AE85" i="4"/>
  <c r="AE84" i="4"/>
  <c r="AE83" i="4"/>
  <c r="AE82" i="4"/>
  <c r="AE81" i="4"/>
  <c r="AE74" i="4"/>
  <c r="AE73" i="4"/>
  <c r="AE72" i="4"/>
  <c r="AE71" i="4"/>
  <c r="AE70" i="4"/>
  <c r="AE69" i="4"/>
  <c r="AE68" i="4"/>
  <c r="AE67" i="4"/>
  <c r="AE66" i="4"/>
  <c r="AE65" i="4"/>
  <c r="AE64" i="4"/>
  <c r="AE63" i="4"/>
  <c r="W92" i="4"/>
  <c r="V92" i="4"/>
  <c r="U92" i="4"/>
  <c r="T92" i="4"/>
  <c r="S92" i="4"/>
  <c r="R92" i="4"/>
  <c r="Q92" i="4"/>
  <c r="P92" i="4"/>
  <c r="O92" i="4"/>
  <c r="N92" i="4"/>
  <c r="M92" i="4"/>
  <c r="L92" i="4"/>
  <c r="K92" i="4"/>
  <c r="J92" i="4"/>
  <c r="I92" i="4"/>
  <c r="H92" i="4"/>
  <c r="G92" i="4"/>
  <c r="F92" i="4"/>
  <c r="W91" i="4"/>
  <c r="V91" i="4"/>
  <c r="U91" i="4"/>
  <c r="T91" i="4"/>
  <c r="S91" i="4"/>
  <c r="R91" i="4"/>
  <c r="Q91" i="4"/>
  <c r="P91" i="4"/>
  <c r="O91" i="4"/>
  <c r="N91" i="4"/>
  <c r="M91" i="4"/>
  <c r="L91" i="4"/>
  <c r="K91" i="4"/>
  <c r="J91" i="4"/>
  <c r="I91" i="4"/>
  <c r="H91" i="4"/>
  <c r="G91" i="4"/>
  <c r="F91" i="4"/>
  <c r="W90" i="4"/>
  <c r="V90" i="4"/>
  <c r="U90" i="4"/>
  <c r="T90" i="4"/>
  <c r="S90" i="4"/>
  <c r="R90" i="4"/>
  <c r="Q90" i="4"/>
  <c r="P90" i="4"/>
  <c r="O90" i="4"/>
  <c r="N90" i="4"/>
  <c r="M90" i="4"/>
  <c r="L90" i="4"/>
  <c r="K90" i="4"/>
  <c r="J90" i="4"/>
  <c r="I90" i="4"/>
  <c r="H90" i="4"/>
  <c r="G90" i="4"/>
  <c r="F90" i="4"/>
  <c r="W89" i="4"/>
  <c r="V89" i="4"/>
  <c r="U89" i="4"/>
  <c r="T89" i="4"/>
  <c r="S89" i="4"/>
  <c r="R89" i="4"/>
  <c r="Q89" i="4"/>
  <c r="P89" i="4"/>
  <c r="O89" i="4"/>
  <c r="N89" i="4"/>
  <c r="M89" i="4"/>
  <c r="L89" i="4"/>
  <c r="K89" i="4"/>
  <c r="J89" i="4"/>
  <c r="I89" i="4"/>
  <c r="H89" i="4"/>
  <c r="G89" i="4"/>
  <c r="F89" i="4"/>
  <c r="W88" i="4"/>
  <c r="V88" i="4"/>
  <c r="U88" i="4"/>
  <c r="T88" i="4"/>
  <c r="S88" i="4"/>
  <c r="R88" i="4"/>
  <c r="Q88" i="4"/>
  <c r="P88" i="4"/>
  <c r="O88" i="4"/>
  <c r="N88" i="4"/>
  <c r="M88" i="4"/>
  <c r="L88" i="4"/>
  <c r="K88" i="4"/>
  <c r="J88" i="4"/>
  <c r="I88" i="4"/>
  <c r="H88" i="4"/>
  <c r="G88" i="4"/>
  <c r="F88" i="4"/>
  <c r="W87" i="4"/>
  <c r="V87" i="4"/>
  <c r="U87" i="4"/>
  <c r="T87" i="4"/>
  <c r="S87" i="4"/>
  <c r="R87" i="4"/>
  <c r="Q87" i="4"/>
  <c r="P87" i="4"/>
  <c r="O87" i="4"/>
  <c r="N87" i="4"/>
  <c r="M87" i="4"/>
  <c r="L87" i="4"/>
  <c r="K87" i="4"/>
  <c r="J87" i="4"/>
  <c r="I87" i="4"/>
  <c r="H87" i="4"/>
  <c r="G87" i="4"/>
  <c r="F87" i="4"/>
  <c r="W86" i="4"/>
  <c r="V86" i="4"/>
  <c r="U86" i="4"/>
  <c r="T86" i="4"/>
  <c r="S86" i="4"/>
  <c r="R86" i="4"/>
  <c r="Q86" i="4"/>
  <c r="P86" i="4"/>
  <c r="O86" i="4"/>
  <c r="N86" i="4"/>
  <c r="M86" i="4"/>
  <c r="L86" i="4"/>
  <c r="K86" i="4"/>
  <c r="J86" i="4"/>
  <c r="I86" i="4"/>
  <c r="H86" i="4"/>
  <c r="G86" i="4"/>
  <c r="F86" i="4"/>
  <c r="W85" i="4"/>
  <c r="V85" i="4"/>
  <c r="U85" i="4"/>
  <c r="T85" i="4"/>
  <c r="S85" i="4"/>
  <c r="R85" i="4"/>
  <c r="Q85" i="4"/>
  <c r="P85" i="4"/>
  <c r="O85" i="4"/>
  <c r="N85" i="4"/>
  <c r="M85" i="4"/>
  <c r="L85" i="4"/>
  <c r="K85" i="4"/>
  <c r="J85" i="4"/>
  <c r="I85" i="4"/>
  <c r="H85" i="4"/>
  <c r="G85" i="4"/>
  <c r="F85" i="4"/>
  <c r="W84" i="4"/>
  <c r="V84" i="4"/>
  <c r="U84" i="4"/>
  <c r="T84" i="4"/>
  <c r="S84" i="4"/>
  <c r="R84" i="4"/>
  <c r="Q84" i="4"/>
  <c r="P84" i="4"/>
  <c r="O84" i="4"/>
  <c r="N84" i="4"/>
  <c r="M84" i="4"/>
  <c r="L84" i="4"/>
  <c r="K84" i="4"/>
  <c r="J84" i="4"/>
  <c r="I84" i="4"/>
  <c r="H84" i="4"/>
  <c r="G84" i="4"/>
  <c r="F84" i="4"/>
  <c r="W83" i="4"/>
  <c r="V83" i="4"/>
  <c r="U83" i="4"/>
  <c r="T83" i="4"/>
  <c r="S83" i="4"/>
  <c r="R83" i="4"/>
  <c r="Q83" i="4"/>
  <c r="P83" i="4"/>
  <c r="O83" i="4"/>
  <c r="N83" i="4"/>
  <c r="M83" i="4"/>
  <c r="L83" i="4"/>
  <c r="K83" i="4"/>
  <c r="J83" i="4"/>
  <c r="I83" i="4"/>
  <c r="H83" i="4"/>
  <c r="G83" i="4"/>
  <c r="F83" i="4"/>
  <c r="W82" i="4"/>
  <c r="V82" i="4"/>
  <c r="U82" i="4"/>
  <c r="T82" i="4"/>
  <c r="S82" i="4"/>
  <c r="R82" i="4"/>
  <c r="Q82" i="4"/>
  <c r="P82" i="4"/>
  <c r="O82" i="4"/>
  <c r="N82" i="4"/>
  <c r="M82" i="4"/>
  <c r="L82" i="4"/>
  <c r="K82" i="4"/>
  <c r="J82" i="4"/>
  <c r="I82" i="4"/>
  <c r="H82" i="4"/>
  <c r="G82" i="4"/>
  <c r="F82" i="4"/>
  <c r="W81" i="4"/>
  <c r="V81" i="4"/>
  <c r="U81" i="4"/>
  <c r="T81" i="4"/>
  <c r="S81" i="4"/>
  <c r="R81" i="4"/>
  <c r="Q81" i="4"/>
  <c r="P81" i="4"/>
  <c r="O81" i="4"/>
  <c r="N81" i="4"/>
  <c r="M81" i="4"/>
  <c r="L81" i="4"/>
  <c r="K81" i="4"/>
  <c r="J81" i="4"/>
  <c r="I81" i="4"/>
  <c r="H81" i="4"/>
  <c r="G81" i="4"/>
  <c r="F81" i="4"/>
  <c r="W74" i="4"/>
  <c r="V74" i="4"/>
  <c r="U74" i="4"/>
  <c r="T74" i="4"/>
  <c r="S74" i="4"/>
  <c r="R74" i="4"/>
  <c r="Q74" i="4"/>
  <c r="P74" i="4"/>
  <c r="O74" i="4"/>
  <c r="N74" i="4"/>
  <c r="M74" i="4"/>
  <c r="L74" i="4"/>
  <c r="K74" i="4"/>
  <c r="J74" i="4"/>
  <c r="I74" i="4"/>
  <c r="H74" i="4"/>
  <c r="G74" i="4"/>
  <c r="F74" i="4"/>
  <c r="W73" i="4"/>
  <c r="V73" i="4"/>
  <c r="U73" i="4"/>
  <c r="T73" i="4"/>
  <c r="S73" i="4"/>
  <c r="R73" i="4"/>
  <c r="Q73" i="4"/>
  <c r="P73" i="4"/>
  <c r="O73" i="4"/>
  <c r="N73" i="4"/>
  <c r="M73" i="4"/>
  <c r="L73" i="4"/>
  <c r="K73" i="4"/>
  <c r="J73" i="4"/>
  <c r="I73" i="4"/>
  <c r="H73" i="4"/>
  <c r="G73" i="4"/>
  <c r="F73" i="4"/>
  <c r="W72" i="4"/>
  <c r="V72" i="4"/>
  <c r="U72" i="4"/>
  <c r="T72" i="4"/>
  <c r="S72" i="4"/>
  <c r="R72" i="4"/>
  <c r="Q72" i="4"/>
  <c r="P72" i="4"/>
  <c r="O72" i="4"/>
  <c r="N72" i="4"/>
  <c r="M72" i="4"/>
  <c r="L72" i="4"/>
  <c r="K72" i="4"/>
  <c r="J72" i="4"/>
  <c r="I72" i="4"/>
  <c r="H72" i="4"/>
  <c r="G72" i="4"/>
  <c r="F72" i="4"/>
  <c r="W71" i="4"/>
  <c r="V71" i="4"/>
  <c r="U71" i="4"/>
  <c r="T71" i="4"/>
  <c r="S71" i="4"/>
  <c r="R71" i="4"/>
  <c r="Q71" i="4"/>
  <c r="P71" i="4"/>
  <c r="O71" i="4"/>
  <c r="N71" i="4"/>
  <c r="M71" i="4"/>
  <c r="L71" i="4"/>
  <c r="K71" i="4"/>
  <c r="J71" i="4"/>
  <c r="I71" i="4"/>
  <c r="H71" i="4"/>
  <c r="G71" i="4"/>
  <c r="F71" i="4"/>
  <c r="W70" i="4"/>
  <c r="V70" i="4"/>
  <c r="U70" i="4"/>
  <c r="T70" i="4"/>
  <c r="S70" i="4"/>
  <c r="R70" i="4"/>
  <c r="Q70" i="4"/>
  <c r="P70" i="4"/>
  <c r="O70" i="4"/>
  <c r="N70" i="4"/>
  <c r="M70" i="4"/>
  <c r="L70" i="4"/>
  <c r="K70" i="4"/>
  <c r="J70" i="4"/>
  <c r="I70" i="4"/>
  <c r="H70" i="4"/>
  <c r="G70" i="4"/>
  <c r="F70" i="4"/>
  <c r="W69" i="4"/>
  <c r="V69" i="4"/>
  <c r="U69" i="4"/>
  <c r="T69" i="4"/>
  <c r="S69" i="4"/>
  <c r="R69" i="4"/>
  <c r="Q69" i="4"/>
  <c r="P69" i="4"/>
  <c r="O69" i="4"/>
  <c r="N69" i="4"/>
  <c r="M69" i="4"/>
  <c r="L69" i="4"/>
  <c r="K69" i="4"/>
  <c r="J69" i="4"/>
  <c r="I69" i="4"/>
  <c r="H69" i="4"/>
  <c r="G69" i="4"/>
  <c r="F69" i="4"/>
  <c r="W68" i="4"/>
  <c r="V68" i="4"/>
  <c r="U68" i="4"/>
  <c r="T68" i="4"/>
  <c r="S68" i="4"/>
  <c r="R68" i="4"/>
  <c r="Q68" i="4"/>
  <c r="P68" i="4"/>
  <c r="O68" i="4"/>
  <c r="N68" i="4"/>
  <c r="M68" i="4"/>
  <c r="L68" i="4"/>
  <c r="K68" i="4"/>
  <c r="J68" i="4"/>
  <c r="I68" i="4"/>
  <c r="H68" i="4"/>
  <c r="G68" i="4"/>
  <c r="F68" i="4"/>
  <c r="W67" i="4"/>
  <c r="V67" i="4"/>
  <c r="W66" i="4"/>
  <c r="V66" i="4"/>
  <c r="W65" i="4"/>
  <c r="V65" i="4"/>
  <c r="W64" i="4"/>
  <c r="V64" i="4"/>
  <c r="W63" i="4"/>
  <c r="V63" i="4"/>
  <c r="Q67" i="4"/>
  <c r="P67" i="4"/>
  <c r="Q66" i="4"/>
  <c r="P66" i="4"/>
  <c r="Q65" i="4"/>
  <c r="P65" i="4"/>
  <c r="Q64" i="4"/>
  <c r="P64" i="4"/>
  <c r="Q63" i="4"/>
  <c r="P63" i="4"/>
  <c r="K67" i="4"/>
  <c r="J67" i="4"/>
  <c r="K66" i="4"/>
  <c r="J66" i="4"/>
  <c r="K65" i="4"/>
  <c r="J65" i="4"/>
  <c r="K64" i="4"/>
  <c r="J64" i="4"/>
  <c r="K63" i="4"/>
  <c r="J63" i="4"/>
  <c r="U67" i="4"/>
  <c r="T67" i="4"/>
  <c r="S67" i="4"/>
  <c r="R67" i="4"/>
  <c r="O67" i="4"/>
  <c r="N67" i="4"/>
  <c r="M67" i="4"/>
  <c r="L67" i="4"/>
  <c r="I67" i="4"/>
  <c r="H67" i="4"/>
  <c r="G67" i="4"/>
  <c r="F67" i="4"/>
  <c r="U66" i="4"/>
  <c r="T66" i="4"/>
  <c r="S66" i="4"/>
  <c r="R66" i="4"/>
  <c r="L66" i="4"/>
  <c r="O66" i="4"/>
  <c r="N66" i="4"/>
  <c r="M66" i="4"/>
  <c r="F66" i="4"/>
  <c r="I66" i="4"/>
  <c r="H66" i="4"/>
  <c r="G66" i="4"/>
  <c r="U63" i="4"/>
  <c r="U64" i="4"/>
  <c r="U65" i="4"/>
  <c r="O65" i="4"/>
  <c r="O64" i="4"/>
  <c r="O63" i="4"/>
  <c r="R65" i="4"/>
  <c r="N65" i="4"/>
  <c r="M65" i="4"/>
  <c r="S64" i="4"/>
  <c r="R64" i="4"/>
  <c r="L64" i="4"/>
  <c r="M64" i="4"/>
  <c r="AE26" i="4"/>
  <c r="AD26" i="4"/>
  <c r="AC26" i="4"/>
  <c r="AB26" i="4"/>
  <c r="AA26" i="4"/>
  <c r="Z26" i="4"/>
  <c r="Y26" i="4"/>
  <c r="X26" i="4"/>
  <c r="W26" i="4"/>
  <c r="V26" i="4"/>
  <c r="U26" i="4"/>
  <c r="T26" i="4"/>
  <c r="S26" i="4"/>
  <c r="R26" i="4"/>
  <c r="Q26" i="4"/>
  <c r="P26" i="4"/>
  <c r="AE25" i="4"/>
  <c r="AD25" i="4"/>
  <c r="AC25" i="4"/>
  <c r="AB25" i="4"/>
  <c r="AA25" i="4"/>
  <c r="Z25" i="4"/>
  <c r="Y25" i="4"/>
  <c r="X25" i="4"/>
  <c r="W25" i="4"/>
  <c r="V25" i="4"/>
  <c r="U25" i="4"/>
  <c r="T25" i="4"/>
  <c r="S25" i="4"/>
  <c r="R25" i="4"/>
  <c r="Q25" i="4"/>
  <c r="P25" i="4"/>
  <c r="AE24" i="4"/>
  <c r="AD24" i="4"/>
  <c r="AC24" i="4"/>
  <c r="AB24" i="4"/>
  <c r="AA24" i="4"/>
  <c r="Z24" i="4"/>
  <c r="Y24" i="4"/>
  <c r="X24" i="4"/>
  <c r="W24" i="4"/>
  <c r="V24" i="4"/>
  <c r="U24" i="4"/>
  <c r="T24" i="4"/>
  <c r="S24" i="4"/>
  <c r="R24" i="4"/>
  <c r="T63" i="4" s="1"/>
  <c r="Q24" i="4"/>
  <c r="S65" i="4" s="1"/>
  <c r="P24" i="4"/>
  <c r="R63" i="4" s="1"/>
  <c r="AE23" i="4"/>
  <c r="AD23" i="4"/>
  <c r="AC23" i="4"/>
  <c r="AB23" i="4"/>
  <c r="AA23" i="4"/>
  <c r="Z23" i="4"/>
  <c r="Y23" i="4"/>
  <c r="X23" i="4"/>
  <c r="W23" i="4"/>
  <c r="V23" i="4"/>
  <c r="U23" i="4"/>
  <c r="T23" i="4"/>
  <c r="S23" i="4"/>
  <c r="R23" i="4"/>
  <c r="N63" i="4" s="1"/>
  <c r="Q23" i="4"/>
  <c r="P23" i="4"/>
  <c r="L65" i="4" s="1"/>
  <c r="AE22" i="4"/>
  <c r="AD22" i="4"/>
  <c r="AC22" i="4"/>
  <c r="AB22" i="4"/>
  <c r="AA22" i="4"/>
  <c r="Z22" i="4"/>
  <c r="Y22" i="4"/>
  <c r="X22" i="4"/>
  <c r="W22" i="4"/>
  <c r="V22" i="4"/>
  <c r="U22" i="4"/>
  <c r="T22" i="4"/>
  <c r="S22" i="4"/>
  <c r="I65" i="4" s="1"/>
  <c r="R22" i="4"/>
  <c r="H63" i="4" s="1"/>
  <c r="Q22" i="4"/>
  <c r="G63" i="4" s="1"/>
  <c r="P22" i="4"/>
  <c r="F63" i="4" s="1"/>
  <c r="S63" i="4"/>
  <c r="M63" i="4"/>
  <c r="L63" i="4"/>
  <c r="AN108" i="2"/>
  <c r="AM108" i="2"/>
  <c r="AL108" i="2"/>
  <c r="AK108" i="2"/>
  <c r="CB96" i="12" l="1"/>
  <c r="BU96" i="12"/>
  <c r="BT96" i="12"/>
  <c r="CD96" i="12"/>
  <c r="BS96" i="12"/>
  <c r="CC96" i="12"/>
  <c r="BR96" i="12"/>
  <c r="DN96" i="12" s="1"/>
  <c r="CA96" i="12"/>
  <c r="BQ96" i="12"/>
  <c r="BZ96" i="12"/>
  <c r="DQ96" i="12" s="1"/>
  <c r="BY96" i="12"/>
  <c r="BX96" i="12"/>
  <c r="BW96" i="12"/>
  <c r="DP96" i="12" s="1"/>
  <c r="BV96" i="12"/>
  <c r="DO96" i="12" s="1"/>
  <c r="BX90" i="12"/>
  <c r="CB90" i="12"/>
  <c r="BT90" i="12"/>
  <c r="BQ90" i="12"/>
  <c r="BY90" i="12"/>
  <c r="BV90" i="12"/>
  <c r="DO90" i="12" s="1"/>
  <c r="BR90" i="12"/>
  <c r="DN90" i="12" s="1"/>
  <c r="BU90" i="12"/>
  <c r="CD90" i="12"/>
  <c r="BZ90" i="12"/>
  <c r="DQ90" i="12" s="1"/>
  <c r="BS90" i="12"/>
  <c r="CC90" i="12"/>
  <c r="CA90" i="12"/>
  <c r="BW90" i="12"/>
  <c r="DP90" i="12" s="1"/>
  <c r="BU153" i="13"/>
  <c r="BR153" i="13"/>
  <c r="DN153" i="13" s="1"/>
  <c r="CC153" i="13"/>
  <c r="BZ153" i="13"/>
  <c r="DQ153" i="13" s="1"/>
  <c r="BV153" i="13"/>
  <c r="DO153" i="13" s="1"/>
  <c r="CD153" i="13"/>
  <c r="BS153" i="13"/>
  <c r="BW153" i="13"/>
  <c r="DP153" i="13" s="1"/>
  <c r="CA153" i="13"/>
  <c r="BX153" i="13"/>
  <c r="CB153" i="13"/>
  <c r="BY153" i="13"/>
  <c r="BT153" i="13"/>
  <c r="BQ153" i="13"/>
  <c r="BQ152" i="13"/>
  <c r="BU152" i="13"/>
  <c r="BY152" i="13"/>
  <c r="CC152" i="13"/>
  <c r="BR152" i="13"/>
  <c r="DN152" i="13" s="1"/>
  <c r="BV152" i="13"/>
  <c r="DO152" i="13" s="1"/>
  <c r="BZ152" i="13"/>
  <c r="DQ152" i="13" s="1"/>
  <c r="CD152" i="13"/>
  <c r="BS152" i="13"/>
  <c r="CA152" i="13"/>
  <c r="BX152" i="13"/>
  <c r="CB152" i="13"/>
  <c r="BW152" i="13"/>
  <c r="DP152" i="13" s="1"/>
  <c r="BT152" i="13"/>
  <c r="CA155" i="13"/>
  <c r="BY155" i="13"/>
  <c r="BS155" i="13"/>
  <c r="CC155" i="13"/>
  <c r="CD155" i="13"/>
  <c r="BU155" i="13"/>
  <c r="BV155" i="13"/>
  <c r="DO155" i="13" s="1"/>
  <c r="BT155" i="13"/>
  <c r="BW155" i="13"/>
  <c r="DP155" i="13" s="1"/>
  <c r="CB155" i="13"/>
  <c r="BX155" i="13"/>
  <c r="BQ155" i="13"/>
  <c r="BR155" i="13"/>
  <c r="DN155" i="13" s="1"/>
  <c r="BZ155" i="13"/>
  <c r="DQ155" i="13" s="1"/>
  <c r="BR158" i="13"/>
  <c r="DN158" i="13" s="1"/>
  <c r="CD158" i="13"/>
  <c r="BT158" i="13"/>
  <c r="BU158" i="13"/>
  <c r="BQ158" i="13"/>
  <c r="CC158" i="13"/>
  <c r="BZ158" i="13"/>
  <c r="DQ158" i="13" s="1"/>
  <c r="BV158" i="13"/>
  <c r="DO158" i="13" s="1"/>
  <c r="BW158" i="13"/>
  <c r="DP158" i="13" s="1"/>
  <c r="BS158" i="13"/>
  <c r="BY158" i="13"/>
  <c r="CA158" i="13"/>
  <c r="CB158" i="13"/>
  <c r="BX158" i="13"/>
  <c r="AE68" i="12"/>
  <c r="AL68" i="12"/>
  <c r="AI68" i="12"/>
  <c r="AF68" i="12"/>
  <c r="DC68" i="12" s="1"/>
  <c r="AA68" i="12"/>
  <c r="AG68" i="12"/>
  <c r="DD68" i="12" s="1"/>
  <c r="AK68" i="12"/>
  <c r="AC68" i="12"/>
  <c r="AD68" i="12"/>
  <c r="AN68" i="12"/>
  <c r="AJ68" i="12"/>
  <c r="DE68" i="12" s="1"/>
  <c r="AB68" i="12"/>
  <c r="DB68" i="12" s="1"/>
  <c r="AH68" i="12"/>
  <c r="AM68" i="12"/>
  <c r="AJ113" i="13"/>
  <c r="DE113" i="13" s="1"/>
  <c r="AN113" i="13"/>
  <c r="AC113" i="13"/>
  <c r="AA113" i="13"/>
  <c r="AK113" i="13"/>
  <c r="AI113" i="13"/>
  <c r="AD113" i="13"/>
  <c r="AG113" i="13"/>
  <c r="DD113" i="13" s="1"/>
  <c r="AL113" i="13"/>
  <c r="AH113" i="13"/>
  <c r="AE113" i="13"/>
  <c r="AB113" i="13"/>
  <c r="DB113" i="13" s="1"/>
  <c r="AF113" i="13"/>
  <c r="DC113" i="13" s="1"/>
  <c r="AM113" i="13"/>
  <c r="AM40" i="14"/>
  <c r="AF40" i="14"/>
  <c r="DC40" i="14" s="1"/>
  <c r="AN40" i="14"/>
  <c r="AG40" i="14"/>
  <c r="DD40" i="14" s="1"/>
  <c r="AA40" i="14"/>
  <c r="AE40" i="14"/>
  <c r="AI40" i="14"/>
  <c r="AD40" i="14"/>
  <c r="AJ40" i="14"/>
  <c r="DE40" i="14" s="1"/>
  <c r="AC40" i="14"/>
  <c r="AL40" i="14"/>
  <c r="AB40" i="14"/>
  <c r="DB40" i="14" s="1"/>
  <c r="AK40" i="14"/>
  <c r="AH40" i="14"/>
  <c r="AM38" i="14"/>
  <c r="AG38" i="14"/>
  <c r="DD38" i="14" s="1"/>
  <c r="AC38" i="14"/>
  <c r="AA38" i="14"/>
  <c r="AH38" i="14"/>
  <c r="AJ38" i="14"/>
  <c r="DE38" i="14" s="1"/>
  <c r="AE38" i="14"/>
  <c r="AL38" i="14"/>
  <c r="AN38" i="14"/>
  <c r="AK38" i="14"/>
  <c r="AI38" i="14"/>
  <c r="AF38" i="14"/>
  <c r="DC38" i="14" s="1"/>
  <c r="AB38" i="14"/>
  <c r="DB38" i="14" s="1"/>
  <c r="AD38" i="14"/>
  <c r="AF103" i="13"/>
  <c r="DC103" i="13" s="1"/>
  <c r="AN103" i="13"/>
  <c r="AK103" i="13"/>
  <c r="AG103" i="13"/>
  <c r="DD103" i="13" s="1"/>
  <c r="AE103" i="13"/>
  <c r="AH103" i="13"/>
  <c r="AM103" i="13"/>
  <c r="AA103" i="13"/>
  <c r="AI103" i="13"/>
  <c r="AL103" i="13"/>
  <c r="AJ103" i="13"/>
  <c r="DE103" i="13" s="1"/>
  <c r="AD103" i="13"/>
  <c r="AB103" i="13"/>
  <c r="DB103" i="13" s="1"/>
  <c r="AC103" i="13"/>
  <c r="AR71" i="12"/>
  <c r="AQ71" i="12"/>
  <c r="AU71" i="12"/>
  <c r="DH71" i="12" s="1"/>
  <c r="AY71" i="12"/>
  <c r="AW71" i="12"/>
  <c r="AO71" i="12"/>
  <c r="AX71" i="12"/>
  <c r="DI71" i="12" s="1"/>
  <c r="AV71" i="12"/>
  <c r="AP71" i="12"/>
  <c r="DF71" i="12" s="1"/>
  <c r="BB71" i="12"/>
  <c r="AT71" i="12"/>
  <c r="DG71" i="12" s="1"/>
  <c r="BA71" i="12"/>
  <c r="AS71" i="12"/>
  <c r="AZ71" i="12"/>
  <c r="AO110" i="13"/>
  <c r="AW110" i="13"/>
  <c r="AS110" i="13"/>
  <c r="AP110" i="13"/>
  <c r="DF110" i="13" s="1"/>
  <c r="BA110" i="13"/>
  <c r="AX110" i="13"/>
  <c r="DI110" i="13" s="1"/>
  <c r="AT110" i="13"/>
  <c r="DG110" i="13" s="1"/>
  <c r="AY110" i="13"/>
  <c r="BB110" i="13"/>
  <c r="AZ110" i="13"/>
  <c r="AV110" i="13"/>
  <c r="AQ110" i="13"/>
  <c r="AR110" i="13"/>
  <c r="AU110" i="13"/>
  <c r="DH110" i="13" s="1"/>
  <c r="AY112" i="13"/>
  <c r="AO112" i="13"/>
  <c r="AR112" i="13"/>
  <c r="BA112" i="13"/>
  <c r="AS112" i="13"/>
  <c r="BB112" i="13"/>
  <c r="AP112" i="13"/>
  <c r="DF112" i="13" s="1"/>
  <c r="AX112" i="13"/>
  <c r="DI112" i="13" s="1"/>
  <c r="AQ112" i="13"/>
  <c r="AV112" i="13"/>
  <c r="AU112" i="13"/>
  <c r="DH112" i="13" s="1"/>
  <c r="AZ112" i="13"/>
  <c r="AT112" i="13"/>
  <c r="DG112" i="13" s="1"/>
  <c r="AW112" i="13"/>
  <c r="AX41" i="14"/>
  <c r="DI41" i="14" s="1"/>
  <c r="BB41" i="14"/>
  <c r="BA41" i="14"/>
  <c r="AU41" i="14"/>
  <c r="DH41" i="14" s="1"/>
  <c r="AP41" i="14"/>
  <c r="DF41" i="14" s="1"/>
  <c r="AR41" i="14"/>
  <c r="AQ41" i="14"/>
  <c r="AZ41" i="14"/>
  <c r="AY41" i="14"/>
  <c r="AV41" i="14"/>
  <c r="AO41" i="14"/>
  <c r="AW41" i="14"/>
  <c r="AS41" i="14"/>
  <c r="AT41" i="14"/>
  <c r="DG41" i="14" s="1"/>
  <c r="BA95" i="12"/>
  <c r="AS95" i="12"/>
  <c r="AZ95" i="12"/>
  <c r="AR95" i="12"/>
  <c r="AY95" i="12"/>
  <c r="AQ95" i="12"/>
  <c r="AX95" i="12"/>
  <c r="DI95" i="12" s="1"/>
  <c r="AP95" i="12"/>
  <c r="DF95" i="12" s="1"/>
  <c r="AW95" i="12"/>
  <c r="AO95" i="12"/>
  <c r="AV95" i="12"/>
  <c r="AU95" i="12"/>
  <c r="DH95" i="12" s="1"/>
  <c r="BB95" i="12"/>
  <c r="AT95" i="12"/>
  <c r="DG95" i="12" s="1"/>
  <c r="BB88" i="12"/>
  <c r="AU88" i="12"/>
  <c r="DH88" i="12" s="1"/>
  <c r="AV88" i="12"/>
  <c r="AR88" i="12"/>
  <c r="AZ88" i="12"/>
  <c r="AS88" i="12"/>
  <c r="BA88" i="12"/>
  <c r="AT88" i="12"/>
  <c r="DG88" i="12" s="1"/>
  <c r="AO88" i="12"/>
  <c r="AP88" i="12"/>
  <c r="DF88" i="12" s="1"/>
  <c r="AW88" i="12"/>
  <c r="AX88" i="12"/>
  <c r="DI88" i="12" s="1"/>
  <c r="AQ88" i="12"/>
  <c r="AY88" i="12"/>
  <c r="AT152" i="13"/>
  <c r="DG152" i="13" s="1"/>
  <c r="AO152" i="13"/>
  <c r="BB152" i="13"/>
  <c r="AQ152" i="13"/>
  <c r="AU152" i="13"/>
  <c r="DH152" i="13" s="1"/>
  <c r="AY152" i="13"/>
  <c r="AV152" i="13"/>
  <c r="AR152" i="13"/>
  <c r="AW152" i="13"/>
  <c r="AZ152" i="13"/>
  <c r="AP152" i="13"/>
  <c r="DF152" i="13" s="1"/>
  <c r="AS152" i="13"/>
  <c r="BA152" i="13"/>
  <c r="AX152" i="13"/>
  <c r="DI152" i="13" s="1"/>
  <c r="AO84" i="14"/>
  <c r="AS84" i="14"/>
  <c r="AY84" i="14"/>
  <c r="AZ84" i="14"/>
  <c r="AV84" i="14"/>
  <c r="AR84" i="14"/>
  <c r="AU84" i="14"/>
  <c r="DH84" i="14" s="1"/>
  <c r="AX84" i="14"/>
  <c r="DI84" i="14" s="1"/>
  <c r="AQ84" i="14"/>
  <c r="AP84" i="14"/>
  <c r="DF84" i="14" s="1"/>
  <c r="BB84" i="14"/>
  <c r="AW84" i="14"/>
  <c r="BA84" i="14"/>
  <c r="AT84" i="14"/>
  <c r="DG84" i="14" s="1"/>
  <c r="AW150" i="13"/>
  <c r="AU150" i="13"/>
  <c r="DH150" i="13" s="1"/>
  <c r="AP150" i="13"/>
  <c r="DF150" i="13" s="1"/>
  <c r="AV150" i="13"/>
  <c r="AX150" i="13"/>
  <c r="DI150" i="13" s="1"/>
  <c r="AY150" i="13"/>
  <c r="AR150" i="13"/>
  <c r="BA150" i="13"/>
  <c r="AZ150" i="13"/>
  <c r="BB150" i="13"/>
  <c r="AQ150" i="13"/>
  <c r="AO150" i="13"/>
  <c r="AS150" i="13"/>
  <c r="AT150" i="13"/>
  <c r="DG150" i="13" s="1"/>
  <c r="Q62" i="12"/>
  <c r="W62" i="12"/>
  <c r="X62" i="12"/>
  <c r="N62" i="12"/>
  <c r="Z62" i="12"/>
  <c r="P62" i="12"/>
  <c r="R62" i="12"/>
  <c r="O62" i="12"/>
  <c r="U62" i="12"/>
  <c r="M62" i="12"/>
  <c r="Y62" i="12"/>
  <c r="T62" i="12"/>
  <c r="V62" i="12"/>
  <c r="S62" i="12"/>
  <c r="V63" i="12"/>
  <c r="Y63" i="12"/>
  <c r="R63" i="12"/>
  <c r="U63" i="12"/>
  <c r="O63" i="12"/>
  <c r="P63" i="12"/>
  <c r="Q63" i="12"/>
  <c r="N63" i="12"/>
  <c r="X63" i="12"/>
  <c r="M63" i="12"/>
  <c r="W63" i="12"/>
  <c r="S63" i="12"/>
  <c r="Z63" i="12"/>
  <c r="T63" i="12"/>
  <c r="X105" i="13"/>
  <c r="N105" i="13"/>
  <c r="Q105" i="13"/>
  <c r="Y105" i="13"/>
  <c r="M105" i="13"/>
  <c r="R105" i="13"/>
  <c r="U105" i="13"/>
  <c r="Z105" i="13"/>
  <c r="W105" i="13"/>
  <c r="T105" i="13"/>
  <c r="O105" i="13"/>
  <c r="P105" i="13"/>
  <c r="S105" i="13"/>
  <c r="V105" i="13"/>
  <c r="S42" i="14"/>
  <c r="Z42" i="14"/>
  <c r="O42" i="14"/>
  <c r="X42" i="14"/>
  <c r="N42" i="14"/>
  <c r="Q42" i="14"/>
  <c r="M42" i="14"/>
  <c r="R42" i="14"/>
  <c r="P42" i="14"/>
  <c r="Y42" i="14"/>
  <c r="T42" i="14"/>
  <c r="U42" i="14"/>
  <c r="V42" i="14"/>
  <c r="W42" i="14"/>
  <c r="N107" i="13"/>
  <c r="R107" i="13"/>
  <c r="V107" i="13"/>
  <c r="Z107" i="13"/>
  <c r="O107" i="13"/>
  <c r="S107" i="13"/>
  <c r="W107" i="13"/>
  <c r="T107" i="13"/>
  <c r="X107" i="13"/>
  <c r="M107" i="13"/>
  <c r="Q107" i="13"/>
  <c r="P107" i="13"/>
  <c r="Y107" i="13"/>
  <c r="U107" i="13"/>
  <c r="Z106" i="13"/>
  <c r="W106" i="13"/>
  <c r="S106" i="13"/>
  <c r="Q106" i="13"/>
  <c r="T106" i="13"/>
  <c r="Y106" i="13"/>
  <c r="M106" i="13"/>
  <c r="U106" i="13"/>
  <c r="X106" i="13"/>
  <c r="V106" i="13"/>
  <c r="P106" i="13"/>
  <c r="R106" i="13"/>
  <c r="N106" i="13"/>
  <c r="O106" i="13"/>
  <c r="BP93" i="12"/>
  <c r="BO93" i="12"/>
  <c r="BF93" i="12"/>
  <c r="BN93" i="12"/>
  <c r="BI93" i="12"/>
  <c r="DL93" i="12" s="1"/>
  <c r="BC93" i="12"/>
  <c r="BD93" i="12"/>
  <c r="DJ93" i="12" s="1"/>
  <c r="BE93" i="12"/>
  <c r="BJ93" i="12"/>
  <c r="BK93" i="12"/>
  <c r="BL93" i="12"/>
  <c r="DM93" i="12" s="1"/>
  <c r="BM93" i="12"/>
  <c r="BH93" i="12"/>
  <c r="DK93" i="12" s="1"/>
  <c r="BG93" i="12"/>
  <c r="BM147" i="13"/>
  <c r="BI147" i="13"/>
  <c r="DL147" i="13" s="1"/>
  <c r="BF147" i="13"/>
  <c r="BN147" i="13"/>
  <c r="BC147" i="13"/>
  <c r="BG147" i="13"/>
  <c r="BK147" i="13"/>
  <c r="BO147" i="13"/>
  <c r="BL147" i="13"/>
  <c r="DM147" i="13" s="1"/>
  <c r="BP147" i="13"/>
  <c r="BH147" i="13"/>
  <c r="DK147" i="13" s="1"/>
  <c r="BJ147" i="13"/>
  <c r="BD147" i="13"/>
  <c r="DJ147" i="13" s="1"/>
  <c r="BE147" i="13"/>
  <c r="BK146" i="13"/>
  <c r="BO146" i="13"/>
  <c r="BC146" i="13"/>
  <c r="BI146" i="13"/>
  <c r="DL146" i="13" s="1"/>
  <c r="BL146" i="13"/>
  <c r="DM146" i="13" s="1"/>
  <c r="BG146" i="13"/>
  <c r="BD146" i="13"/>
  <c r="DJ146" i="13" s="1"/>
  <c r="BM146" i="13"/>
  <c r="BP146" i="13"/>
  <c r="BN146" i="13"/>
  <c r="BH146" i="13"/>
  <c r="DK146" i="13" s="1"/>
  <c r="BJ146" i="13"/>
  <c r="BE146" i="13"/>
  <c r="BF146" i="13"/>
  <c r="BE64" i="12"/>
  <c r="BL64" i="12"/>
  <c r="DM64" i="12" s="1"/>
  <c r="BM64" i="12"/>
  <c r="BP64" i="12"/>
  <c r="BO64" i="12"/>
  <c r="BN64" i="12"/>
  <c r="BD64" i="12"/>
  <c r="DJ64" i="12" s="1"/>
  <c r="BK64" i="12"/>
  <c r="BH64" i="12"/>
  <c r="DK64" i="12" s="1"/>
  <c r="BG64" i="12"/>
  <c r="BF64" i="12"/>
  <c r="BC64" i="12"/>
  <c r="BI64" i="12"/>
  <c r="DL64" i="12" s="1"/>
  <c r="BJ64" i="12"/>
  <c r="BZ93" i="12"/>
  <c r="DQ93" i="12" s="1"/>
  <c r="CA93" i="12"/>
  <c r="BS93" i="12"/>
  <c r="BQ93" i="12"/>
  <c r="BU93" i="12"/>
  <c r="BV93" i="12"/>
  <c r="DO93" i="12" s="1"/>
  <c r="BY93" i="12"/>
  <c r="CC93" i="12"/>
  <c r="CD93" i="12"/>
  <c r="BW93" i="12"/>
  <c r="DP93" i="12" s="1"/>
  <c r="BT93" i="12"/>
  <c r="CB93" i="12"/>
  <c r="BR93" i="12"/>
  <c r="DN93" i="12" s="1"/>
  <c r="BX93" i="12"/>
  <c r="BW157" i="13"/>
  <c r="DP157" i="13" s="1"/>
  <c r="BS157" i="13"/>
  <c r="BX157" i="13"/>
  <c r="CA157" i="13"/>
  <c r="CB157" i="13"/>
  <c r="BQ157" i="13"/>
  <c r="CC157" i="13"/>
  <c r="BT157" i="13"/>
  <c r="BV157" i="13"/>
  <c r="DO157" i="13" s="1"/>
  <c r="BR157" i="13"/>
  <c r="DN157" i="13" s="1"/>
  <c r="BY157" i="13"/>
  <c r="BU157" i="13"/>
  <c r="BZ157" i="13"/>
  <c r="DQ157" i="13" s="1"/>
  <c r="CD157" i="13"/>
  <c r="CC81" i="14"/>
  <c r="BZ81" i="14"/>
  <c r="DQ81" i="14" s="1"/>
  <c r="BU81" i="14"/>
  <c r="BR81" i="14"/>
  <c r="DN81" i="14" s="1"/>
  <c r="BY81" i="14"/>
  <c r="BX81" i="14"/>
  <c r="BQ81" i="14"/>
  <c r="CB81" i="14"/>
  <c r="BW81" i="14"/>
  <c r="DP81" i="14" s="1"/>
  <c r="BT81" i="14"/>
  <c r="BV81" i="14"/>
  <c r="DO81" i="14" s="1"/>
  <c r="BS81" i="14"/>
  <c r="CD81" i="14"/>
  <c r="CA81" i="14"/>
  <c r="BZ80" i="14"/>
  <c r="DQ80" i="14" s="1"/>
  <c r="CC80" i="14"/>
  <c r="BR80" i="14"/>
  <c r="DN80" i="14" s="1"/>
  <c r="BU80" i="14"/>
  <c r="BY80" i="14"/>
  <c r="BW80" i="14"/>
  <c r="DP80" i="14" s="1"/>
  <c r="BQ80" i="14"/>
  <c r="CB80" i="14"/>
  <c r="BX80" i="14"/>
  <c r="BT80" i="14"/>
  <c r="CD80" i="14"/>
  <c r="BS80" i="14"/>
  <c r="CA80" i="14"/>
  <c r="BV80" i="14"/>
  <c r="DO80" i="14" s="1"/>
  <c r="CA60" i="15"/>
  <c r="BS60" i="15"/>
  <c r="BZ60" i="15"/>
  <c r="DQ60" i="15" s="1"/>
  <c r="BR60" i="15"/>
  <c r="DN60" i="15" s="1"/>
  <c r="BY60" i="15"/>
  <c r="BQ60" i="15"/>
  <c r="CC60" i="15"/>
  <c r="BX60" i="15"/>
  <c r="BW60" i="15"/>
  <c r="DP60" i="15" s="1"/>
  <c r="CD60" i="15"/>
  <c r="BV60" i="15"/>
  <c r="DO60" i="15" s="1"/>
  <c r="BU60" i="15"/>
  <c r="CB60" i="15"/>
  <c r="BT60" i="15"/>
  <c r="AA71" i="12"/>
  <c r="AG71" i="12"/>
  <c r="DD71" i="12" s="1"/>
  <c r="AF71" i="12"/>
  <c r="DC71" i="12" s="1"/>
  <c r="AN71" i="12"/>
  <c r="AH71" i="12"/>
  <c r="AE71" i="12"/>
  <c r="AI71" i="12"/>
  <c r="AL71" i="12"/>
  <c r="AD71" i="12"/>
  <c r="AK71" i="12"/>
  <c r="AJ71" i="12"/>
  <c r="DE71" i="12" s="1"/>
  <c r="AC71" i="12"/>
  <c r="AB71" i="12"/>
  <c r="DB71" i="12" s="1"/>
  <c r="AM71" i="12"/>
  <c r="AC105" i="13"/>
  <c r="AA105" i="13"/>
  <c r="AK105" i="13"/>
  <c r="AI105" i="13"/>
  <c r="AB105" i="13"/>
  <c r="DB105" i="13" s="1"/>
  <c r="AM105" i="13"/>
  <c r="AE105" i="13"/>
  <c r="AJ105" i="13"/>
  <c r="DE105" i="13" s="1"/>
  <c r="AN105" i="13"/>
  <c r="AL105" i="13"/>
  <c r="AG105" i="13"/>
  <c r="DD105" i="13" s="1"/>
  <c r="AF105" i="13"/>
  <c r="DC105" i="13" s="1"/>
  <c r="AH105" i="13"/>
  <c r="AD105" i="13"/>
  <c r="AE39" i="14"/>
  <c r="AM39" i="14"/>
  <c r="AB39" i="14"/>
  <c r="DB39" i="14" s="1"/>
  <c r="AA39" i="14"/>
  <c r="AJ39" i="14"/>
  <c r="DE39" i="14" s="1"/>
  <c r="AI39" i="14"/>
  <c r="AF39" i="14"/>
  <c r="DC39" i="14" s="1"/>
  <c r="AL39" i="14"/>
  <c r="AC39" i="14"/>
  <c r="AN39" i="14"/>
  <c r="AK39" i="14"/>
  <c r="AD39" i="14"/>
  <c r="AH39" i="14"/>
  <c r="AG39" i="14"/>
  <c r="DD39" i="14" s="1"/>
  <c r="AA42" i="14"/>
  <c r="AI42" i="14"/>
  <c r="AG42" i="14"/>
  <c r="DD42" i="14" s="1"/>
  <c r="AE42" i="14"/>
  <c r="AK42" i="14"/>
  <c r="AL42" i="14"/>
  <c r="AH42" i="14"/>
  <c r="AC42" i="14"/>
  <c r="AM42" i="14"/>
  <c r="AN42" i="14"/>
  <c r="AJ42" i="14"/>
  <c r="DE42" i="14" s="1"/>
  <c r="AB42" i="14"/>
  <c r="DB42" i="14" s="1"/>
  <c r="AD42" i="14"/>
  <c r="AF42" i="14"/>
  <c r="DC42" i="14" s="1"/>
  <c r="AB111" i="13"/>
  <c r="DB111" i="13" s="1"/>
  <c r="AE111" i="13"/>
  <c r="AJ111" i="13"/>
  <c r="DE111" i="13" s="1"/>
  <c r="AF111" i="13"/>
  <c r="DC111" i="13" s="1"/>
  <c r="AC111" i="13"/>
  <c r="AK111" i="13"/>
  <c r="AH111" i="13"/>
  <c r="AN111" i="13"/>
  <c r="AA111" i="13"/>
  <c r="AD111" i="13"/>
  <c r="AG111" i="13"/>
  <c r="DD111" i="13" s="1"/>
  <c r="AI111" i="13"/>
  <c r="AM111" i="13"/>
  <c r="AL111" i="13"/>
  <c r="AP66" i="12"/>
  <c r="DF66" i="12" s="1"/>
  <c r="AX66" i="12"/>
  <c r="DI66" i="12" s="1"/>
  <c r="AQ66" i="12"/>
  <c r="AV66" i="12"/>
  <c r="AZ66" i="12"/>
  <c r="AR66" i="12"/>
  <c r="AO66" i="12"/>
  <c r="BA66" i="12"/>
  <c r="AS66" i="12"/>
  <c r="AY66" i="12"/>
  <c r="AT66" i="12"/>
  <c r="DG66" i="12" s="1"/>
  <c r="AW66" i="12"/>
  <c r="AU66" i="12"/>
  <c r="DH66" i="12" s="1"/>
  <c r="BB66" i="12"/>
  <c r="AV103" i="13"/>
  <c r="AZ103" i="13"/>
  <c r="AO103" i="13"/>
  <c r="AS103" i="13"/>
  <c r="AW103" i="13"/>
  <c r="BA103" i="13"/>
  <c r="AP103" i="13"/>
  <c r="DF103" i="13" s="1"/>
  <c r="AU103" i="13"/>
  <c r="DH103" i="13" s="1"/>
  <c r="AX103" i="13"/>
  <c r="DI103" i="13" s="1"/>
  <c r="AQ103" i="13"/>
  <c r="BB103" i="13"/>
  <c r="AR103" i="13"/>
  <c r="AT103" i="13"/>
  <c r="DG103" i="13" s="1"/>
  <c r="AY103" i="13"/>
  <c r="AX114" i="13"/>
  <c r="DI114" i="13" s="1"/>
  <c r="BA114" i="13"/>
  <c r="AQ114" i="13"/>
  <c r="BB114" i="13"/>
  <c r="AY114" i="13"/>
  <c r="AR114" i="13"/>
  <c r="AO114" i="13"/>
  <c r="AU114" i="13"/>
  <c r="DH114" i="13" s="1"/>
  <c r="AW114" i="13"/>
  <c r="AS114" i="13"/>
  <c r="AZ114" i="13"/>
  <c r="AV114" i="13"/>
  <c r="AT114" i="13"/>
  <c r="DG114" i="13" s="1"/>
  <c r="AP114" i="13"/>
  <c r="DF114" i="13" s="1"/>
  <c r="AP105" i="13"/>
  <c r="DF105" i="13" s="1"/>
  <c r="AX105" i="13"/>
  <c r="DI105" i="13" s="1"/>
  <c r="AS105" i="13"/>
  <c r="AQ105" i="13"/>
  <c r="BA105" i="13"/>
  <c r="AY105" i="13"/>
  <c r="AV105" i="13"/>
  <c r="AZ105" i="13"/>
  <c r="AO105" i="13"/>
  <c r="AT105" i="13"/>
  <c r="DG105" i="13" s="1"/>
  <c r="AU105" i="13"/>
  <c r="DH105" i="13" s="1"/>
  <c r="AW105" i="13"/>
  <c r="AR105" i="13"/>
  <c r="BB105" i="13"/>
  <c r="BB38" i="14"/>
  <c r="AU38" i="14"/>
  <c r="DH38" i="14" s="1"/>
  <c r="AT38" i="14"/>
  <c r="DG38" i="14" s="1"/>
  <c r="AQ38" i="14"/>
  <c r="AR38" i="14"/>
  <c r="AV38" i="14"/>
  <c r="AP38" i="14"/>
  <c r="DF38" i="14" s="1"/>
  <c r="AY38" i="14"/>
  <c r="AZ38" i="14"/>
  <c r="BA38" i="14"/>
  <c r="AX38" i="14"/>
  <c r="DI38" i="14" s="1"/>
  <c r="AO38" i="14"/>
  <c r="AS38" i="14"/>
  <c r="AW38" i="14"/>
  <c r="AY91" i="12"/>
  <c r="AQ91" i="12"/>
  <c r="AX91" i="12"/>
  <c r="DI91" i="12" s="1"/>
  <c r="AR91" i="12"/>
  <c r="AS91" i="12"/>
  <c r="AT91" i="12"/>
  <c r="DG91" i="12" s="1"/>
  <c r="AZ91" i="12"/>
  <c r="BA91" i="12"/>
  <c r="BB91" i="12"/>
  <c r="AP91" i="12"/>
  <c r="DF91" i="12" s="1"/>
  <c r="AU91" i="12"/>
  <c r="DH91" i="12" s="1"/>
  <c r="AV91" i="12"/>
  <c r="AO91" i="12"/>
  <c r="AW91" i="12"/>
  <c r="AU90" i="12"/>
  <c r="DH90" i="12" s="1"/>
  <c r="AZ90" i="12"/>
  <c r="BB90" i="12"/>
  <c r="AP90" i="12"/>
  <c r="DF90" i="12" s="1"/>
  <c r="AR90" i="12"/>
  <c r="AX90" i="12"/>
  <c r="DI90" i="12" s="1"/>
  <c r="BA90" i="12"/>
  <c r="AO90" i="12"/>
  <c r="AV90" i="12"/>
  <c r="AW90" i="12"/>
  <c r="AS90" i="12"/>
  <c r="AQ90" i="12"/>
  <c r="AY90" i="12"/>
  <c r="AT90" i="12"/>
  <c r="DG90" i="12" s="1"/>
  <c r="AU156" i="13"/>
  <c r="DH156" i="13" s="1"/>
  <c r="AQ156" i="13"/>
  <c r="AV156" i="13"/>
  <c r="AY156" i="13"/>
  <c r="AO156" i="13"/>
  <c r="AW156" i="13"/>
  <c r="BA156" i="13"/>
  <c r="AP156" i="13"/>
  <c r="DF156" i="13" s="1"/>
  <c r="AT156" i="13"/>
  <c r="DG156" i="13" s="1"/>
  <c r="AX156" i="13"/>
  <c r="DI156" i="13" s="1"/>
  <c r="AS156" i="13"/>
  <c r="BB156" i="13"/>
  <c r="AZ156" i="13"/>
  <c r="AR156" i="13"/>
  <c r="BB154" i="13"/>
  <c r="AQ154" i="13"/>
  <c r="AU154" i="13"/>
  <c r="DH154" i="13" s="1"/>
  <c r="AY154" i="13"/>
  <c r="AV154" i="13"/>
  <c r="AR154" i="13"/>
  <c r="AO154" i="13"/>
  <c r="AZ154" i="13"/>
  <c r="AW154" i="13"/>
  <c r="BA154" i="13"/>
  <c r="AX154" i="13"/>
  <c r="DI154" i="13" s="1"/>
  <c r="AS154" i="13"/>
  <c r="AT154" i="13"/>
  <c r="DG154" i="13" s="1"/>
  <c r="AP154" i="13"/>
  <c r="DF154" i="13" s="1"/>
  <c r="BA149" i="13"/>
  <c r="AZ149" i="13"/>
  <c r="AT149" i="13"/>
  <c r="DG149" i="13" s="1"/>
  <c r="AP149" i="13"/>
  <c r="DF149" i="13" s="1"/>
  <c r="BB149" i="13"/>
  <c r="AQ149" i="13"/>
  <c r="AU149" i="13"/>
  <c r="DH149" i="13" s="1"/>
  <c r="AX149" i="13"/>
  <c r="DI149" i="13" s="1"/>
  <c r="AV149" i="13"/>
  <c r="AY149" i="13"/>
  <c r="AW149" i="13"/>
  <c r="AS149" i="13"/>
  <c r="AO149" i="13"/>
  <c r="AR149" i="13"/>
  <c r="Q70" i="12"/>
  <c r="Y70" i="12"/>
  <c r="M70" i="12"/>
  <c r="X70" i="12"/>
  <c r="U70" i="12"/>
  <c r="P70" i="12"/>
  <c r="O70" i="12"/>
  <c r="Z70" i="12"/>
  <c r="R70" i="12"/>
  <c r="W70" i="12"/>
  <c r="T70" i="12"/>
  <c r="V70" i="12"/>
  <c r="S70" i="12"/>
  <c r="N70" i="12"/>
  <c r="R109" i="13"/>
  <c r="P109" i="13"/>
  <c r="S109" i="13"/>
  <c r="W109" i="13"/>
  <c r="T109" i="13"/>
  <c r="M109" i="13"/>
  <c r="U109" i="13"/>
  <c r="Q109" i="13"/>
  <c r="V109" i="13"/>
  <c r="Y109" i="13"/>
  <c r="X109" i="13"/>
  <c r="N109" i="13"/>
  <c r="O109" i="13"/>
  <c r="Z109" i="13"/>
  <c r="W39" i="14"/>
  <c r="S39" i="14"/>
  <c r="O39" i="14"/>
  <c r="V39" i="14"/>
  <c r="Y39" i="14"/>
  <c r="T39" i="14"/>
  <c r="Z39" i="14"/>
  <c r="M39" i="14"/>
  <c r="X39" i="14"/>
  <c r="U39" i="14"/>
  <c r="R39" i="14"/>
  <c r="P39" i="14"/>
  <c r="N39" i="14"/>
  <c r="Q39" i="14"/>
  <c r="M111" i="13"/>
  <c r="U111" i="13"/>
  <c r="Q111" i="13"/>
  <c r="N111" i="13"/>
  <c r="Y111" i="13"/>
  <c r="P111" i="13"/>
  <c r="Z111" i="13"/>
  <c r="W111" i="13"/>
  <c r="S111" i="13"/>
  <c r="X111" i="13"/>
  <c r="V111" i="13"/>
  <c r="R111" i="13"/>
  <c r="O111" i="13"/>
  <c r="T111" i="13"/>
  <c r="Z40" i="14"/>
  <c r="S40" i="14"/>
  <c r="R40" i="14"/>
  <c r="P40" i="14"/>
  <c r="M40" i="14"/>
  <c r="Q40" i="14"/>
  <c r="U40" i="14"/>
  <c r="N40" i="14"/>
  <c r="V40" i="14"/>
  <c r="O40" i="14"/>
  <c r="W40" i="14"/>
  <c r="T40" i="14"/>
  <c r="Y40" i="14"/>
  <c r="X40" i="14"/>
  <c r="Y13" i="7"/>
  <c r="C90" i="12"/>
  <c r="C93" i="12"/>
  <c r="C88" i="12"/>
  <c r="C98" i="12"/>
  <c r="C97" i="12"/>
  <c r="C94" i="12"/>
  <c r="C89" i="12"/>
  <c r="C92" i="12"/>
  <c r="C99" i="12"/>
  <c r="C95" i="12"/>
  <c r="C96" i="12"/>
  <c r="C91" i="12"/>
  <c r="C100" i="12"/>
  <c r="BK97" i="12"/>
  <c r="BJ97" i="12"/>
  <c r="BI97" i="12"/>
  <c r="DL97" i="12" s="1"/>
  <c r="BD97" i="12"/>
  <c r="DJ97" i="12" s="1"/>
  <c r="BE97" i="12"/>
  <c r="BF97" i="12"/>
  <c r="BG97" i="12"/>
  <c r="BH97" i="12"/>
  <c r="DK97" i="12" s="1"/>
  <c r="BL97" i="12"/>
  <c r="DM97" i="12" s="1"/>
  <c r="BM97" i="12"/>
  <c r="BN97" i="12"/>
  <c r="BO97" i="12"/>
  <c r="BP97" i="12"/>
  <c r="BC97" i="12"/>
  <c r="BE151" i="13"/>
  <c r="BK151" i="13"/>
  <c r="BN151" i="13"/>
  <c r="BC151" i="13"/>
  <c r="BF151" i="13"/>
  <c r="BL151" i="13"/>
  <c r="DM151" i="13" s="1"/>
  <c r="BO151" i="13"/>
  <c r="BD151" i="13"/>
  <c r="DJ151" i="13" s="1"/>
  <c r="BG151" i="13"/>
  <c r="BM151" i="13"/>
  <c r="BP151" i="13"/>
  <c r="BI151" i="13"/>
  <c r="DL151" i="13" s="1"/>
  <c r="BH151" i="13"/>
  <c r="DK151" i="13" s="1"/>
  <c r="BJ151" i="13"/>
  <c r="BE150" i="13"/>
  <c r="BG150" i="13"/>
  <c r="BM150" i="13"/>
  <c r="BH150" i="13"/>
  <c r="DK150" i="13" s="1"/>
  <c r="BF150" i="13"/>
  <c r="BI150" i="13"/>
  <c r="DL150" i="13" s="1"/>
  <c r="BN150" i="13"/>
  <c r="BJ150" i="13"/>
  <c r="BO150" i="13"/>
  <c r="BL150" i="13"/>
  <c r="DM150" i="13" s="1"/>
  <c r="BD150" i="13"/>
  <c r="DJ150" i="13" s="1"/>
  <c r="BC150" i="13"/>
  <c r="BP150" i="13"/>
  <c r="BK150" i="13"/>
  <c r="BI72" i="12"/>
  <c r="DL72" i="12" s="1"/>
  <c r="BF72" i="12"/>
  <c r="BG72" i="12"/>
  <c r="BP72" i="12"/>
  <c r="BH72" i="12"/>
  <c r="DK72" i="12" s="1"/>
  <c r="BD72" i="12"/>
  <c r="DJ72" i="12" s="1"/>
  <c r="BM72" i="12"/>
  <c r="BN72" i="12"/>
  <c r="BE72" i="12"/>
  <c r="BK72" i="12"/>
  <c r="BO72" i="12"/>
  <c r="BJ72" i="12"/>
  <c r="BL72" i="12"/>
  <c r="DM72" i="12" s="1"/>
  <c r="BC72" i="12"/>
  <c r="BH104" i="13"/>
  <c r="DK104" i="13" s="1"/>
  <c r="BE104" i="13"/>
  <c r="BP104" i="13"/>
  <c r="BM104" i="13"/>
  <c r="BI104" i="13"/>
  <c r="DL104" i="13" s="1"/>
  <c r="BJ104" i="13"/>
  <c r="BG104" i="13"/>
  <c r="BO104" i="13"/>
  <c r="BK104" i="13"/>
  <c r="BF104" i="13"/>
  <c r="BD104" i="13"/>
  <c r="DJ104" i="13" s="1"/>
  <c r="BC104" i="13"/>
  <c r="BL104" i="13"/>
  <c r="DM104" i="13" s="1"/>
  <c r="BN104" i="13"/>
  <c r="CD88" i="12"/>
  <c r="BT88" i="12"/>
  <c r="CB88" i="12"/>
  <c r="BS88" i="12"/>
  <c r="CC88" i="12"/>
  <c r="CA88" i="12"/>
  <c r="BR88" i="12"/>
  <c r="DN88" i="12" s="1"/>
  <c r="BZ88" i="12"/>
  <c r="DQ88" i="12" s="1"/>
  <c r="BQ88" i="12"/>
  <c r="BY88" i="12"/>
  <c r="BX88" i="12"/>
  <c r="BW88" i="12"/>
  <c r="DP88" i="12" s="1"/>
  <c r="BV88" i="12"/>
  <c r="DO88" i="12" s="1"/>
  <c r="BU88" i="12"/>
  <c r="BS154" i="13"/>
  <c r="CD154" i="13"/>
  <c r="CA154" i="13"/>
  <c r="BT154" i="13"/>
  <c r="BW154" i="13"/>
  <c r="DP154" i="13" s="1"/>
  <c r="CB154" i="13"/>
  <c r="BX154" i="13"/>
  <c r="BU154" i="13"/>
  <c r="BQ154" i="13"/>
  <c r="CC154" i="13"/>
  <c r="BR154" i="13"/>
  <c r="DN154" i="13" s="1"/>
  <c r="BV154" i="13"/>
  <c r="DO154" i="13" s="1"/>
  <c r="BY154" i="13"/>
  <c r="BZ154" i="13"/>
  <c r="DQ154" i="13" s="1"/>
  <c r="BQ82" i="14"/>
  <c r="BU82" i="14"/>
  <c r="BS82" i="14"/>
  <c r="CB82" i="14"/>
  <c r="BX82" i="14"/>
  <c r="BT82" i="14"/>
  <c r="BW82" i="14"/>
  <c r="DP82" i="14" s="1"/>
  <c r="BZ82" i="14"/>
  <c r="DQ82" i="14" s="1"/>
  <c r="CA82" i="14"/>
  <c r="BR82" i="14"/>
  <c r="DN82" i="14" s="1"/>
  <c r="CD82" i="14"/>
  <c r="BY82" i="14"/>
  <c r="CC82" i="14"/>
  <c r="BV82" i="14"/>
  <c r="DO82" i="14" s="1"/>
  <c r="BY85" i="14"/>
  <c r="CA85" i="14"/>
  <c r="CD85" i="14"/>
  <c r="BS85" i="14"/>
  <c r="BV85" i="14"/>
  <c r="DO85" i="14" s="1"/>
  <c r="BZ85" i="14"/>
  <c r="DQ85" i="14" s="1"/>
  <c r="CC85" i="14"/>
  <c r="BR85" i="14"/>
  <c r="DN85" i="14" s="1"/>
  <c r="BU85" i="14"/>
  <c r="BX85" i="14"/>
  <c r="BQ85" i="14"/>
  <c r="BW85" i="14"/>
  <c r="DP85" i="14" s="1"/>
  <c r="BT85" i="14"/>
  <c r="CB85" i="14"/>
  <c r="BT84" i="14"/>
  <c r="BX84" i="14"/>
  <c r="CA84" i="14"/>
  <c r="CD84" i="14"/>
  <c r="BS84" i="14"/>
  <c r="BV84" i="14"/>
  <c r="DO84" i="14" s="1"/>
  <c r="BW84" i="14"/>
  <c r="DP84" i="14" s="1"/>
  <c r="BZ84" i="14"/>
  <c r="DQ84" i="14" s="1"/>
  <c r="CC84" i="14"/>
  <c r="BR84" i="14"/>
  <c r="DN84" i="14" s="1"/>
  <c r="CB84" i="14"/>
  <c r="BQ84" i="14"/>
  <c r="BU84" i="14"/>
  <c r="BY84" i="14"/>
  <c r="D75" i="12"/>
  <c r="AC74" i="12"/>
  <c r="AN74" i="12"/>
  <c r="AK74" i="12"/>
  <c r="AG74" i="12"/>
  <c r="DD74" i="12" s="1"/>
  <c r="AJ74" i="12"/>
  <c r="DE74" i="12" s="1"/>
  <c r="AB74" i="12"/>
  <c r="DB74" i="12" s="1"/>
  <c r="AD74" i="12"/>
  <c r="AH74" i="12"/>
  <c r="AL74" i="12"/>
  <c r="AA74" i="12"/>
  <c r="AE74" i="12"/>
  <c r="AI74" i="12"/>
  <c r="AM74" i="12"/>
  <c r="AF74" i="12"/>
  <c r="DC74" i="12" s="1"/>
  <c r="AG65" i="12"/>
  <c r="DD65" i="12" s="1"/>
  <c r="AL65" i="12"/>
  <c r="AH65" i="12"/>
  <c r="AK65" i="12"/>
  <c r="AM65" i="12"/>
  <c r="AC65" i="12"/>
  <c r="AF65" i="12"/>
  <c r="DC65" i="12" s="1"/>
  <c r="AN65" i="12"/>
  <c r="AD65" i="12"/>
  <c r="AE65" i="12"/>
  <c r="AB65" i="12"/>
  <c r="DB65" i="12" s="1"/>
  <c r="AJ65" i="12"/>
  <c r="DE65" i="12" s="1"/>
  <c r="AI65" i="12"/>
  <c r="AA65" i="12"/>
  <c r="AQ62" i="12"/>
  <c r="AY62" i="12"/>
  <c r="AR62" i="12"/>
  <c r="AZ62" i="12"/>
  <c r="AS62" i="12"/>
  <c r="BA62" i="12"/>
  <c r="AT62" i="12"/>
  <c r="DG62" i="12" s="1"/>
  <c r="BB62" i="12"/>
  <c r="AU62" i="12"/>
  <c r="DH62" i="12" s="1"/>
  <c r="AV62" i="12"/>
  <c r="AO62" i="12"/>
  <c r="AW62" i="12"/>
  <c r="AP62" i="12"/>
  <c r="DF62" i="12" s="1"/>
  <c r="AX62" i="12"/>
  <c r="DI62" i="12" s="1"/>
  <c r="AU107" i="13"/>
  <c r="DH107" i="13" s="1"/>
  <c r="AZ107" i="13"/>
  <c r="AV107" i="13"/>
  <c r="BB107" i="13"/>
  <c r="AO107" i="13"/>
  <c r="AQ107" i="13"/>
  <c r="AW107" i="13"/>
  <c r="AP107" i="13"/>
  <c r="DF107" i="13" s="1"/>
  <c r="AS107" i="13"/>
  <c r="AX107" i="13"/>
  <c r="DI107" i="13" s="1"/>
  <c r="BA107" i="13"/>
  <c r="AT107" i="13"/>
  <c r="DG107" i="13" s="1"/>
  <c r="AR107" i="13"/>
  <c r="AY107" i="13"/>
  <c r="BA40" i="14"/>
  <c r="AP40" i="14"/>
  <c r="DF40" i="14" s="1"/>
  <c r="AO40" i="14"/>
  <c r="AX40" i="14"/>
  <c r="DI40" i="14" s="1"/>
  <c r="AW40" i="14"/>
  <c r="AT40" i="14"/>
  <c r="DG40" i="14" s="1"/>
  <c r="AS40" i="14"/>
  <c r="AQ40" i="14"/>
  <c r="BB40" i="14"/>
  <c r="AU40" i="14"/>
  <c r="DH40" i="14" s="1"/>
  <c r="AV40" i="14"/>
  <c r="AY40" i="14"/>
  <c r="AR40" i="14"/>
  <c r="AZ40" i="14"/>
  <c r="AV113" i="13"/>
  <c r="AR113" i="13"/>
  <c r="AQ113" i="13"/>
  <c r="AZ113" i="13"/>
  <c r="AY113" i="13"/>
  <c r="AS113" i="13"/>
  <c r="AO113" i="13"/>
  <c r="BA113" i="13"/>
  <c r="AP113" i="13"/>
  <c r="DF113" i="13" s="1"/>
  <c r="BB113" i="13"/>
  <c r="AX113" i="13"/>
  <c r="DI113" i="13" s="1"/>
  <c r="AT113" i="13"/>
  <c r="DG113" i="13" s="1"/>
  <c r="AU113" i="13"/>
  <c r="DH113" i="13" s="1"/>
  <c r="AW113" i="13"/>
  <c r="AU42" i="14"/>
  <c r="DH42" i="14" s="1"/>
  <c r="AV42" i="14"/>
  <c r="AO42" i="14"/>
  <c r="AW42" i="14"/>
  <c r="AT42" i="14"/>
  <c r="DG42" i="14" s="1"/>
  <c r="AX42" i="14"/>
  <c r="DI42" i="14" s="1"/>
  <c r="AS42" i="14"/>
  <c r="BB42" i="14"/>
  <c r="AP42" i="14"/>
  <c r="DF42" i="14" s="1"/>
  <c r="AQ42" i="14"/>
  <c r="BA42" i="14"/>
  <c r="AY42" i="14"/>
  <c r="AZ42" i="14"/>
  <c r="AR42" i="14"/>
  <c r="AV94" i="12"/>
  <c r="AO94" i="12"/>
  <c r="AP94" i="12"/>
  <c r="DF94" i="12" s="1"/>
  <c r="AX94" i="12"/>
  <c r="DI94" i="12" s="1"/>
  <c r="AT94" i="12"/>
  <c r="DG94" i="12" s="1"/>
  <c r="BB94" i="12"/>
  <c r="AQ94" i="12"/>
  <c r="AR94" i="12"/>
  <c r="AS94" i="12"/>
  <c r="AY94" i="12"/>
  <c r="AZ94" i="12"/>
  <c r="BA94" i="12"/>
  <c r="AW94" i="12"/>
  <c r="AU94" i="12"/>
  <c r="DH94" i="12" s="1"/>
  <c r="AP157" i="13"/>
  <c r="DF157" i="13" s="1"/>
  <c r="AT157" i="13"/>
  <c r="DG157" i="13" s="1"/>
  <c r="AX157" i="13"/>
  <c r="DI157" i="13" s="1"/>
  <c r="BB157" i="13"/>
  <c r="AQ157" i="13"/>
  <c r="AV157" i="13"/>
  <c r="AY157" i="13"/>
  <c r="AU157" i="13"/>
  <c r="DH157" i="13" s="1"/>
  <c r="AR157" i="13"/>
  <c r="AZ157" i="13"/>
  <c r="AW157" i="13"/>
  <c r="BA157" i="13"/>
  <c r="AO157" i="13"/>
  <c r="AS157" i="13"/>
  <c r="AW81" i="14"/>
  <c r="AS81" i="14"/>
  <c r="AO81" i="14"/>
  <c r="AV81" i="14"/>
  <c r="AY81" i="14"/>
  <c r="AU81" i="14"/>
  <c r="DH81" i="14" s="1"/>
  <c r="AQ81" i="14"/>
  <c r="BB81" i="14"/>
  <c r="AX81" i="14"/>
  <c r="DI81" i="14" s="1"/>
  <c r="AT81" i="14"/>
  <c r="DG81" i="14" s="1"/>
  <c r="BA81" i="14"/>
  <c r="AR81" i="14"/>
  <c r="AP81" i="14"/>
  <c r="DF81" i="14" s="1"/>
  <c r="AZ81" i="14"/>
  <c r="AX155" i="13"/>
  <c r="DI155" i="13" s="1"/>
  <c r="AW155" i="13"/>
  <c r="AR155" i="13"/>
  <c r="BA155" i="13"/>
  <c r="AV155" i="13"/>
  <c r="AS155" i="13"/>
  <c r="AP155" i="13"/>
  <c r="DF155" i="13" s="1"/>
  <c r="BB155" i="13"/>
  <c r="AQ155" i="13"/>
  <c r="AO155" i="13"/>
  <c r="AT155" i="13"/>
  <c r="DG155" i="13" s="1"/>
  <c r="AU155" i="13"/>
  <c r="DH155" i="13" s="1"/>
  <c r="AY155" i="13"/>
  <c r="AZ155" i="13"/>
  <c r="BA158" i="13"/>
  <c r="AS158" i="13"/>
  <c r="AT158" i="13"/>
  <c r="DG158" i="13" s="1"/>
  <c r="AQ158" i="13"/>
  <c r="AU158" i="13"/>
  <c r="DH158" i="13" s="1"/>
  <c r="AY158" i="13"/>
  <c r="AX158" i="13"/>
  <c r="DI158" i="13" s="1"/>
  <c r="AR158" i="13"/>
  <c r="AV158" i="13"/>
  <c r="AW158" i="13"/>
  <c r="AZ158" i="13"/>
  <c r="AO158" i="13"/>
  <c r="BB158" i="13"/>
  <c r="AP158" i="13"/>
  <c r="DF158" i="13" s="1"/>
  <c r="AX153" i="13"/>
  <c r="DI153" i="13" s="1"/>
  <c r="BB153" i="13"/>
  <c r="AQ153" i="13"/>
  <c r="AY153" i="13"/>
  <c r="AU153" i="13"/>
  <c r="DH153" i="13" s="1"/>
  <c r="AR153" i="13"/>
  <c r="AV153" i="13"/>
  <c r="AZ153" i="13"/>
  <c r="AW153" i="13"/>
  <c r="BA153" i="13"/>
  <c r="AO153" i="13"/>
  <c r="AP153" i="13"/>
  <c r="DF153" i="13" s="1"/>
  <c r="AS153" i="13"/>
  <c r="AT153" i="13"/>
  <c r="DG153" i="13" s="1"/>
  <c r="T71" i="12"/>
  <c r="Q71" i="12"/>
  <c r="Z71" i="12"/>
  <c r="O71" i="12"/>
  <c r="W71" i="12"/>
  <c r="Y71" i="12"/>
  <c r="P71" i="12"/>
  <c r="X71" i="12"/>
  <c r="S71" i="12"/>
  <c r="R71" i="12"/>
  <c r="V71" i="12"/>
  <c r="N71" i="12"/>
  <c r="U71" i="12"/>
  <c r="M71" i="12"/>
  <c r="T113" i="13"/>
  <c r="X113" i="13"/>
  <c r="M113" i="13"/>
  <c r="S113" i="13"/>
  <c r="U113" i="13"/>
  <c r="Q113" i="13"/>
  <c r="N113" i="13"/>
  <c r="R113" i="13"/>
  <c r="O113" i="13"/>
  <c r="Z113" i="13"/>
  <c r="W113" i="13"/>
  <c r="V113" i="13"/>
  <c r="P113" i="13"/>
  <c r="Y113" i="13"/>
  <c r="M115" i="13"/>
  <c r="W115" i="13"/>
  <c r="U115" i="13"/>
  <c r="X115" i="13"/>
  <c r="N115" i="13"/>
  <c r="V115" i="13"/>
  <c r="S115" i="13"/>
  <c r="R115" i="13"/>
  <c r="Q115" i="13"/>
  <c r="Z115" i="13"/>
  <c r="Y115" i="13"/>
  <c r="O115" i="13"/>
  <c r="T115" i="13"/>
  <c r="P115" i="13"/>
  <c r="H67" i="15"/>
  <c r="I67" i="15" s="1"/>
  <c r="I106" i="8"/>
  <c r="H90" i="12"/>
  <c r="H89" i="12"/>
  <c r="H92" i="12"/>
  <c r="H94" i="12"/>
  <c r="H98" i="12"/>
  <c r="H97" i="12"/>
  <c r="H93" i="12"/>
  <c r="H88" i="12"/>
  <c r="H96" i="12"/>
  <c r="H95" i="12"/>
  <c r="H99" i="12"/>
  <c r="H91" i="12"/>
  <c r="H100" i="12"/>
  <c r="I100" i="12" s="1"/>
  <c r="F101" i="12"/>
  <c r="BD100" i="12"/>
  <c r="DJ100" i="12" s="1"/>
  <c r="BG100" i="12"/>
  <c r="BK100" i="12"/>
  <c r="BN100" i="12"/>
  <c r="BC100" i="12"/>
  <c r="BF100" i="12"/>
  <c r="BJ100" i="12"/>
  <c r="BI100" i="12"/>
  <c r="DL100" i="12" s="1"/>
  <c r="BM100" i="12"/>
  <c r="BP100" i="12"/>
  <c r="BE100" i="12"/>
  <c r="BH100" i="12"/>
  <c r="DK100" i="12" s="1"/>
  <c r="BL100" i="12"/>
  <c r="DM100" i="12" s="1"/>
  <c r="BO100" i="12"/>
  <c r="BL92" i="12"/>
  <c r="DM92" i="12" s="1"/>
  <c r="BF92" i="12"/>
  <c r="BI92" i="12"/>
  <c r="DL92" i="12" s="1"/>
  <c r="BD92" i="12"/>
  <c r="DJ92" i="12" s="1"/>
  <c r="BE92" i="12"/>
  <c r="BN92" i="12"/>
  <c r="BJ92" i="12"/>
  <c r="BC92" i="12"/>
  <c r="BK92" i="12"/>
  <c r="BM92" i="12"/>
  <c r="BG92" i="12"/>
  <c r="BO92" i="12"/>
  <c r="BH92" i="12"/>
  <c r="DK92" i="12" s="1"/>
  <c r="BP92" i="12"/>
  <c r="BH148" i="13"/>
  <c r="DK148" i="13" s="1"/>
  <c r="BD148" i="13"/>
  <c r="DJ148" i="13" s="1"/>
  <c r="BN148" i="13"/>
  <c r="BE148" i="13"/>
  <c r="BG148" i="13"/>
  <c r="BM148" i="13"/>
  <c r="BO148" i="13"/>
  <c r="BL148" i="13"/>
  <c r="DM148" i="13" s="1"/>
  <c r="BP148" i="13"/>
  <c r="BJ148" i="13"/>
  <c r="BC148" i="13"/>
  <c r="BF148" i="13"/>
  <c r="BI148" i="13"/>
  <c r="DL148" i="13" s="1"/>
  <c r="BK148" i="13"/>
  <c r="BD155" i="13"/>
  <c r="DJ155" i="13" s="1"/>
  <c r="BM155" i="13"/>
  <c r="BL155" i="13"/>
  <c r="DM155" i="13" s="1"/>
  <c r="BE155" i="13"/>
  <c r="BH155" i="13"/>
  <c r="DK155" i="13" s="1"/>
  <c r="BN155" i="13"/>
  <c r="BI155" i="13"/>
  <c r="DL155" i="13" s="1"/>
  <c r="BP155" i="13"/>
  <c r="BG155" i="13"/>
  <c r="BO155" i="13"/>
  <c r="BK155" i="13"/>
  <c r="BJ155" i="13"/>
  <c r="BF155" i="13"/>
  <c r="BC155" i="13"/>
  <c r="BI154" i="13"/>
  <c r="DL154" i="13" s="1"/>
  <c r="BF154" i="13"/>
  <c r="BG154" i="13"/>
  <c r="BL154" i="13"/>
  <c r="DM154" i="13" s="1"/>
  <c r="BO154" i="13"/>
  <c r="BE154" i="13"/>
  <c r="BH154" i="13"/>
  <c r="DK154" i="13" s="1"/>
  <c r="BM154" i="13"/>
  <c r="BP154" i="13"/>
  <c r="BN154" i="13"/>
  <c r="BC154" i="13"/>
  <c r="BK154" i="13"/>
  <c r="BD154" i="13"/>
  <c r="DJ154" i="13" s="1"/>
  <c r="BJ154" i="13"/>
  <c r="F75" i="12"/>
  <c r="BM74" i="12"/>
  <c r="BG74" i="12"/>
  <c r="BD74" i="12"/>
  <c r="DJ74" i="12" s="1"/>
  <c r="BO74" i="12"/>
  <c r="BL74" i="12"/>
  <c r="DM74" i="12" s="1"/>
  <c r="BE74" i="12"/>
  <c r="BI74" i="12"/>
  <c r="DL74" i="12" s="1"/>
  <c r="BF74" i="12"/>
  <c r="BJ74" i="12"/>
  <c r="BP74" i="12"/>
  <c r="BC74" i="12"/>
  <c r="BN74" i="12"/>
  <c r="BK74" i="12"/>
  <c r="BH74" i="12"/>
  <c r="DK74" i="12" s="1"/>
  <c r="BE67" i="12"/>
  <c r="BC67" i="12"/>
  <c r="BK67" i="12"/>
  <c r="BI67" i="12"/>
  <c r="DL67" i="12" s="1"/>
  <c r="BN67" i="12"/>
  <c r="BD67" i="12"/>
  <c r="DJ67" i="12" s="1"/>
  <c r="BL67" i="12"/>
  <c r="DM67" i="12" s="1"/>
  <c r="BO67" i="12"/>
  <c r="BG67" i="12"/>
  <c r="BF67" i="12"/>
  <c r="BP67" i="12"/>
  <c r="BM67" i="12"/>
  <c r="BJ67" i="12"/>
  <c r="BH67" i="12"/>
  <c r="DK67" i="12" s="1"/>
  <c r="BF106" i="13"/>
  <c r="BC106" i="13"/>
  <c r="BN106" i="13"/>
  <c r="BK106" i="13"/>
  <c r="BG106" i="13"/>
  <c r="BE106" i="13"/>
  <c r="BO106" i="13"/>
  <c r="BM106" i="13"/>
  <c r="BP106" i="13"/>
  <c r="BD106" i="13"/>
  <c r="DJ106" i="13" s="1"/>
  <c r="BI106" i="13"/>
  <c r="DL106" i="13" s="1"/>
  <c r="BL106" i="13"/>
  <c r="DM106" i="13" s="1"/>
  <c r="BH106" i="13"/>
  <c r="DK106" i="13" s="1"/>
  <c r="BJ106" i="13"/>
  <c r="BD108" i="13"/>
  <c r="DJ108" i="13" s="1"/>
  <c r="BM108" i="13"/>
  <c r="BG108" i="13"/>
  <c r="BE108" i="13"/>
  <c r="BI108" i="13"/>
  <c r="DL108" i="13" s="1"/>
  <c r="BN108" i="13"/>
  <c r="BJ108" i="13"/>
  <c r="BH108" i="13"/>
  <c r="DK108" i="13" s="1"/>
  <c r="BK108" i="13"/>
  <c r="BP108" i="13"/>
  <c r="BL108" i="13"/>
  <c r="DM108" i="13" s="1"/>
  <c r="BF108" i="13"/>
  <c r="BC108" i="13"/>
  <c r="BO108" i="13"/>
  <c r="BS97" i="12"/>
  <c r="BZ97" i="12"/>
  <c r="DQ97" i="12" s="1"/>
  <c r="BT97" i="12"/>
  <c r="BU97" i="12"/>
  <c r="BV97" i="12"/>
  <c r="DO97" i="12" s="1"/>
  <c r="BW97" i="12"/>
  <c r="DP97" i="12" s="1"/>
  <c r="CB97" i="12"/>
  <c r="CC97" i="12"/>
  <c r="CD97" i="12"/>
  <c r="BQ97" i="12"/>
  <c r="BR97" i="12"/>
  <c r="DN97" i="12" s="1"/>
  <c r="CA97" i="12"/>
  <c r="BY97" i="12"/>
  <c r="BX97" i="12"/>
  <c r="CC79" i="14"/>
  <c r="CA79" i="14"/>
  <c r="BX79" i="14"/>
  <c r="BS79" i="14"/>
  <c r="BW79" i="14"/>
  <c r="DP79" i="14" s="1"/>
  <c r="BU79" i="14"/>
  <c r="CD79" i="14"/>
  <c r="BZ79" i="14"/>
  <c r="DQ79" i="14" s="1"/>
  <c r="BV79" i="14"/>
  <c r="DO79" i="14" s="1"/>
  <c r="BR79" i="14"/>
  <c r="DN79" i="14" s="1"/>
  <c r="CB79" i="14"/>
  <c r="BQ79" i="14"/>
  <c r="BY79" i="14"/>
  <c r="BT79" i="14"/>
  <c r="BY150" i="13"/>
  <c r="BW150" i="13"/>
  <c r="DP150" i="13" s="1"/>
  <c r="BZ150" i="13"/>
  <c r="DQ150" i="13" s="1"/>
  <c r="BX150" i="13"/>
  <c r="BQ150" i="13"/>
  <c r="CA150" i="13"/>
  <c r="BU150" i="13"/>
  <c r="BR150" i="13"/>
  <c r="DN150" i="13" s="1"/>
  <c r="CC150" i="13"/>
  <c r="CB150" i="13"/>
  <c r="CD150" i="13"/>
  <c r="BT150" i="13"/>
  <c r="BV150" i="13"/>
  <c r="DO150" i="13" s="1"/>
  <c r="BS150" i="13"/>
  <c r="AG62" i="12"/>
  <c r="DD62" i="12" s="1"/>
  <c r="AM62" i="12"/>
  <c r="AK62" i="12"/>
  <c r="AE62" i="12"/>
  <c r="AC62" i="12"/>
  <c r="AN62" i="12"/>
  <c r="AJ62" i="12"/>
  <c r="DE62" i="12" s="1"/>
  <c r="AF62" i="12"/>
  <c r="DC62" i="12" s="1"/>
  <c r="AL62" i="12"/>
  <c r="AB62" i="12"/>
  <c r="DB62" i="12" s="1"/>
  <c r="AD62" i="12"/>
  <c r="AH62" i="12"/>
  <c r="AI62" i="12"/>
  <c r="AA62" i="12"/>
  <c r="AE64" i="12"/>
  <c r="AM64" i="12"/>
  <c r="AI64" i="12"/>
  <c r="AB64" i="12"/>
  <c r="DB64" i="12" s="1"/>
  <c r="AJ64" i="12"/>
  <c r="DE64" i="12" s="1"/>
  <c r="AF64" i="12"/>
  <c r="DC64" i="12" s="1"/>
  <c r="AC64" i="12"/>
  <c r="AN64" i="12"/>
  <c r="AK64" i="12"/>
  <c r="AG64" i="12"/>
  <c r="DD64" i="12" s="1"/>
  <c r="AD64" i="12"/>
  <c r="AH64" i="12"/>
  <c r="AL64" i="12"/>
  <c r="AA64" i="12"/>
  <c r="AA109" i="13"/>
  <c r="AF109" i="13"/>
  <c r="DC109" i="13" s="1"/>
  <c r="AI109" i="13"/>
  <c r="AN109" i="13"/>
  <c r="AB109" i="13"/>
  <c r="DB109" i="13" s="1"/>
  <c r="AE109" i="13"/>
  <c r="AJ109" i="13"/>
  <c r="DE109" i="13" s="1"/>
  <c r="AM109" i="13"/>
  <c r="AK109" i="13"/>
  <c r="AG109" i="13"/>
  <c r="DD109" i="13" s="1"/>
  <c r="AD109" i="13"/>
  <c r="AL109" i="13"/>
  <c r="AH109" i="13"/>
  <c r="AC109" i="13"/>
  <c r="AD115" i="13"/>
  <c r="AC115" i="13"/>
  <c r="AH115" i="13"/>
  <c r="AL115" i="13"/>
  <c r="AA115" i="13"/>
  <c r="AG115" i="13"/>
  <c r="DD115" i="13" s="1"/>
  <c r="AI115" i="13"/>
  <c r="AE115" i="13"/>
  <c r="AB115" i="13"/>
  <c r="DB115" i="13" s="1"/>
  <c r="AF115" i="13"/>
  <c r="DC115" i="13" s="1"/>
  <c r="AJ115" i="13"/>
  <c r="DE115" i="13" s="1"/>
  <c r="AM115" i="13"/>
  <c r="AN115" i="13"/>
  <c r="AK115" i="13"/>
  <c r="E75" i="12"/>
  <c r="AO74" i="12"/>
  <c r="AV74" i="12"/>
  <c r="AS74" i="12"/>
  <c r="AW74" i="12"/>
  <c r="BA74" i="12"/>
  <c r="AP74" i="12"/>
  <c r="DF74" i="12" s="1"/>
  <c r="AT74" i="12"/>
  <c r="DG74" i="12" s="1"/>
  <c r="AX74" i="12"/>
  <c r="DI74" i="12" s="1"/>
  <c r="BB74" i="12"/>
  <c r="AQ74" i="12"/>
  <c r="AZ74" i="12"/>
  <c r="AY74" i="12"/>
  <c r="AU74" i="12"/>
  <c r="DH74" i="12" s="1"/>
  <c r="AR74" i="12"/>
  <c r="AU63" i="12"/>
  <c r="DH63" i="12" s="1"/>
  <c r="AZ63" i="12"/>
  <c r="BB63" i="12"/>
  <c r="AT63" i="12"/>
  <c r="DG63" i="12" s="1"/>
  <c r="AR63" i="12"/>
  <c r="AX63" i="12"/>
  <c r="DI63" i="12" s="1"/>
  <c r="AW63" i="12"/>
  <c r="AV63" i="12"/>
  <c r="BA63" i="12"/>
  <c r="AP63" i="12"/>
  <c r="DF63" i="12" s="1"/>
  <c r="AO63" i="12"/>
  <c r="AS63" i="12"/>
  <c r="AY63" i="12"/>
  <c r="AQ63" i="12"/>
  <c r="AW17" i="15"/>
  <c r="AR17" i="15"/>
  <c r="AY17" i="15"/>
  <c r="BA17" i="15"/>
  <c r="AO17" i="15"/>
  <c r="AZ17" i="15"/>
  <c r="AT17" i="15"/>
  <c r="DG17" i="15" s="1"/>
  <c r="AP17" i="15"/>
  <c r="DF17" i="15" s="1"/>
  <c r="AV17" i="15"/>
  <c r="BB17" i="15"/>
  <c r="AQ17" i="15"/>
  <c r="AU17" i="15"/>
  <c r="DH17" i="15" s="1"/>
  <c r="AX17" i="15"/>
  <c r="DI17" i="15" s="1"/>
  <c r="AS17" i="15"/>
  <c r="AV98" i="12"/>
  <c r="AW98" i="12"/>
  <c r="AO98" i="12"/>
  <c r="AU98" i="12"/>
  <c r="DH98" i="12" s="1"/>
  <c r="AY98" i="12"/>
  <c r="AP98" i="12"/>
  <c r="DF98" i="12" s="1"/>
  <c r="AX98" i="12"/>
  <c r="DI98" i="12" s="1"/>
  <c r="AT98" i="12"/>
  <c r="DG98" i="12" s="1"/>
  <c r="BB98" i="12"/>
  <c r="AQ98" i="12"/>
  <c r="AR98" i="12"/>
  <c r="AS98" i="12"/>
  <c r="AZ98" i="12"/>
  <c r="BA98" i="12"/>
  <c r="AY82" i="14"/>
  <c r="BB82" i="14"/>
  <c r="AQ82" i="14"/>
  <c r="AT82" i="14"/>
  <c r="DG82" i="14" s="1"/>
  <c r="AP82" i="14"/>
  <c r="DF82" i="14" s="1"/>
  <c r="BA82" i="14"/>
  <c r="AW82" i="14"/>
  <c r="AZ82" i="14"/>
  <c r="AV82" i="14"/>
  <c r="AU82" i="14"/>
  <c r="DH82" i="14" s="1"/>
  <c r="AX82" i="14"/>
  <c r="DI82" i="14" s="1"/>
  <c r="AS82" i="14"/>
  <c r="AR82" i="14"/>
  <c r="AO82" i="14"/>
  <c r="AS85" i="14"/>
  <c r="AV85" i="14"/>
  <c r="AY85" i="14"/>
  <c r="AU85" i="14"/>
  <c r="DH85" i="14" s="1"/>
  <c r="AQ85" i="14"/>
  <c r="BA85" i="14"/>
  <c r="AX85" i="14"/>
  <c r="DI85" i="14" s="1"/>
  <c r="BB85" i="14"/>
  <c r="AP85" i="14"/>
  <c r="DF85" i="14" s="1"/>
  <c r="AT85" i="14"/>
  <c r="DG85" i="14" s="1"/>
  <c r="AO85" i="14"/>
  <c r="AR85" i="14"/>
  <c r="AW85" i="14"/>
  <c r="AZ85" i="14"/>
  <c r="AV80" i="14"/>
  <c r="AZ80" i="14"/>
  <c r="AU80" i="14"/>
  <c r="DH80" i="14" s="1"/>
  <c r="AR80" i="14"/>
  <c r="AQ80" i="14"/>
  <c r="AX80" i="14"/>
  <c r="DI80" i="14" s="1"/>
  <c r="BB80" i="14"/>
  <c r="AP80" i="14"/>
  <c r="DF80" i="14" s="1"/>
  <c r="AT80" i="14"/>
  <c r="DG80" i="14" s="1"/>
  <c r="BA80" i="14"/>
  <c r="AO80" i="14"/>
  <c r="AY80" i="14"/>
  <c r="AW80" i="14"/>
  <c r="AS80" i="14"/>
  <c r="BA79" i="14"/>
  <c r="AP79" i="14"/>
  <c r="DF79" i="14" s="1"/>
  <c r="AS79" i="14"/>
  <c r="AV79" i="14"/>
  <c r="AZ79" i="14"/>
  <c r="AR79" i="14"/>
  <c r="AU79" i="14"/>
  <c r="DH79" i="14" s="1"/>
  <c r="AY79" i="14"/>
  <c r="AW79" i="14"/>
  <c r="AQ79" i="14"/>
  <c r="AT79" i="14"/>
  <c r="DG79" i="14" s="1"/>
  <c r="AX79" i="14"/>
  <c r="DI79" i="14" s="1"/>
  <c r="BB79" i="14"/>
  <c r="AO79" i="14"/>
  <c r="C75" i="12"/>
  <c r="W74" i="12"/>
  <c r="S74" i="12"/>
  <c r="P74" i="12"/>
  <c r="X74" i="12"/>
  <c r="CP74" i="12" s="1"/>
  <c r="M74" i="12"/>
  <c r="Q74" i="12"/>
  <c r="U74" i="12"/>
  <c r="CM74" i="12" s="1"/>
  <c r="Y74" i="12"/>
  <c r="N74" i="12"/>
  <c r="R74" i="12"/>
  <c r="V74" i="12"/>
  <c r="Z74" i="12"/>
  <c r="O74" i="12"/>
  <c r="T74" i="12"/>
  <c r="Q65" i="12"/>
  <c r="P65" i="12"/>
  <c r="X65" i="12"/>
  <c r="N65" i="12"/>
  <c r="W65" i="12"/>
  <c r="O65" i="12"/>
  <c r="M65" i="12"/>
  <c r="R65" i="12"/>
  <c r="V65" i="12"/>
  <c r="T65" i="12"/>
  <c r="Z65" i="12"/>
  <c r="U65" i="12"/>
  <c r="Y65" i="12"/>
  <c r="S65" i="12"/>
  <c r="X110" i="13"/>
  <c r="M110" i="13"/>
  <c r="Q110" i="13"/>
  <c r="U110" i="13"/>
  <c r="Y110" i="13"/>
  <c r="N110" i="13"/>
  <c r="R110" i="13"/>
  <c r="V110" i="13"/>
  <c r="Z110" i="13"/>
  <c r="W110" i="13"/>
  <c r="T110" i="13"/>
  <c r="S110" i="13"/>
  <c r="O110" i="13"/>
  <c r="P110" i="13"/>
  <c r="V36" i="14"/>
  <c r="Y36" i="14"/>
  <c r="Q36" i="14"/>
  <c r="S36" i="14"/>
  <c r="P36" i="14"/>
  <c r="R36" i="14"/>
  <c r="X36" i="14"/>
  <c r="M36" i="14"/>
  <c r="T36" i="14"/>
  <c r="U36" i="14"/>
  <c r="O36" i="14"/>
  <c r="Z36" i="14"/>
  <c r="N36" i="14"/>
  <c r="W36" i="14"/>
  <c r="X17" i="15"/>
  <c r="Q17" i="15"/>
  <c r="T17" i="15"/>
  <c r="P17" i="15"/>
  <c r="O17" i="15"/>
  <c r="Y17" i="15"/>
  <c r="Z17" i="15"/>
  <c r="R17" i="15"/>
  <c r="M17" i="15"/>
  <c r="N17" i="15"/>
  <c r="U17" i="15"/>
  <c r="V17" i="15"/>
  <c r="S17" i="15"/>
  <c r="W17" i="15"/>
  <c r="BK96" i="12"/>
  <c r="BD96" i="12"/>
  <c r="DJ96" i="12" s="1"/>
  <c r="BG96" i="12"/>
  <c r="BO96" i="12"/>
  <c r="BH96" i="12"/>
  <c r="DK96" i="12" s="1"/>
  <c r="BC96" i="12"/>
  <c r="BL96" i="12"/>
  <c r="DM96" i="12" s="1"/>
  <c r="BE96" i="12"/>
  <c r="BP96" i="12"/>
  <c r="BI96" i="12"/>
  <c r="DL96" i="12" s="1"/>
  <c r="BM96" i="12"/>
  <c r="BJ96" i="12"/>
  <c r="BF96" i="12"/>
  <c r="BN96" i="12"/>
  <c r="BL94" i="12"/>
  <c r="DM94" i="12" s="1"/>
  <c r="BM94" i="12"/>
  <c r="BE94" i="12"/>
  <c r="BC94" i="12"/>
  <c r="BK94" i="12"/>
  <c r="BF94" i="12"/>
  <c r="BG94" i="12"/>
  <c r="BH94" i="12"/>
  <c r="DK94" i="12" s="1"/>
  <c r="BD94" i="12"/>
  <c r="DJ94" i="12" s="1"/>
  <c r="BN94" i="12"/>
  <c r="BO94" i="12"/>
  <c r="BP94" i="12"/>
  <c r="BI94" i="12"/>
  <c r="DL94" i="12" s="1"/>
  <c r="BJ94" i="12"/>
  <c r="BI152" i="13"/>
  <c r="DL152" i="13" s="1"/>
  <c r="BF152" i="13"/>
  <c r="BK152" i="13"/>
  <c r="BD152" i="13"/>
  <c r="DJ152" i="13" s="1"/>
  <c r="BG152" i="13"/>
  <c r="BL152" i="13"/>
  <c r="DM152" i="13" s="1"/>
  <c r="BO152" i="13"/>
  <c r="BE152" i="13"/>
  <c r="BH152" i="13"/>
  <c r="DK152" i="13" s="1"/>
  <c r="BM152" i="13"/>
  <c r="BP152" i="13"/>
  <c r="BN152" i="13"/>
  <c r="BJ152" i="13"/>
  <c r="BC152" i="13"/>
  <c r="BP80" i="14"/>
  <c r="BE80" i="14"/>
  <c r="BH80" i="14"/>
  <c r="DK80" i="14" s="1"/>
  <c r="BL80" i="14"/>
  <c r="DM80" i="14" s="1"/>
  <c r="BK80" i="14"/>
  <c r="BD80" i="14"/>
  <c r="DJ80" i="14" s="1"/>
  <c r="BO80" i="14"/>
  <c r="BJ80" i="14"/>
  <c r="BG80" i="14"/>
  <c r="BC80" i="14"/>
  <c r="BN80" i="14"/>
  <c r="BI80" i="14"/>
  <c r="DL80" i="14" s="1"/>
  <c r="BM80" i="14"/>
  <c r="BF80" i="14"/>
  <c r="BH158" i="13"/>
  <c r="DK158" i="13" s="1"/>
  <c r="BL158" i="13"/>
  <c r="DM158" i="13" s="1"/>
  <c r="BP158" i="13"/>
  <c r="BE158" i="13"/>
  <c r="BI158" i="13"/>
  <c r="DL158" i="13" s="1"/>
  <c r="BM158" i="13"/>
  <c r="BG158" i="13"/>
  <c r="BJ158" i="13"/>
  <c r="BN158" i="13"/>
  <c r="BF158" i="13"/>
  <c r="BC158" i="13"/>
  <c r="BK158" i="13"/>
  <c r="BD158" i="13"/>
  <c r="DJ158" i="13" s="1"/>
  <c r="BO158" i="13"/>
  <c r="BG62" i="12"/>
  <c r="BO62" i="12"/>
  <c r="BH62" i="12"/>
  <c r="DK62" i="12" s="1"/>
  <c r="BP62" i="12"/>
  <c r="BI62" i="12"/>
  <c r="DL62" i="12" s="1"/>
  <c r="BJ62" i="12"/>
  <c r="BC62" i="12"/>
  <c r="BK62" i="12"/>
  <c r="BD62" i="12"/>
  <c r="DJ62" i="12" s="1"/>
  <c r="BL62" i="12"/>
  <c r="DM62" i="12" s="1"/>
  <c r="BE62" i="12"/>
  <c r="BM62" i="12"/>
  <c r="BF62" i="12"/>
  <c r="BN62" i="12"/>
  <c r="BE63" i="12"/>
  <c r="BM63" i="12"/>
  <c r="BF63" i="12"/>
  <c r="BC63" i="12"/>
  <c r="BN63" i="12"/>
  <c r="BK63" i="12"/>
  <c r="BG63" i="12"/>
  <c r="BD63" i="12"/>
  <c r="DJ63" i="12" s="1"/>
  <c r="BO63" i="12"/>
  <c r="BL63" i="12"/>
  <c r="DM63" i="12" s="1"/>
  <c r="BH63" i="12"/>
  <c r="DK63" i="12" s="1"/>
  <c r="BP63" i="12"/>
  <c r="BI63" i="12"/>
  <c r="DL63" i="12" s="1"/>
  <c r="BJ63" i="12"/>
  <c r="BM105" i="13"/>
  <c r="BE105" i="13"/>
  <c r="BF105" i="13"/>
  <c r="BN105" i="13"/>
  <c r="BI105" i="13"/>
  <c r="DL105" i="13" s="1"/>
  <c r="BG105" i="13"/>
  <c r="BK105" i="13"/>
  <c r="BH105" i="13"/>
  <c r="DK105" i="13" s="1"/>
  <c r="BD105" i="13"/>
  <c r="DJ105" i="13" s="1"/>
  <c r="BP105" i="13"/>
  <c r="BC105" i="13"/>
  <c r="BL105" i="13"/>
  <c r="DM105" i="13" s="1"/>
  <c r="BO105" i="13"/>
  <c r="BJ105" i="13"/>
  <c r="BL112" i="13"/>
  <c r="DM112" i="13" s="1"/>
  <c r="BF112" i="13"/>
  <c r="BD112" i="13"/>
  <c r="DJ112" i="13" s="1"/>
  <c r="BM112" i="13"/>
  <c r="BC112" i="13"/>
  <c r="BG112" i="13"/>
  <c r="BK112" i="13"/>
  <c r="BP112" i="13"/>
  <c r="BH112" i="13"/>
  <c r="DK112" i="13" s="1"/>
  <c r="BN112" i="13"/>
  <c r="BO112" i="13"/>
  <c r="BE112" i="13"/>
  <c r="BI112" i="13"/>
  <c r="DL112" i="13" s="1"/>
  <c r="BJ112" i="13"/>
  <c r="BJ103" i="13"/>
  <c r="BO103" i="13"/>
  <c r="BD103" i="13"/>
  <c r="DJ103" i="13" s="1"/>
  <c r="BH103" i="13"/>
  <c r="DK103" i="13" s="1"/>
  <c r="BL103" i="13"/>
  <c r="DM103" i="13" s="1"/>
  <c r="BP103" i="13"/>
  <c r="BE103" i="13"/>
  <c r="BI103" i="13"/>
  <c r="DL103" i="13" s="1"/>
  <c r="BM103" i="13"/>
  <c r="BC103" i="13"/>
  <c r="BF103" i="13"/>
  <c r="BK103" i="13"/>
  <c r="BG103" i="13"/>
  <c r="BN103" i="13"/>
  <c r="G101" i="12"/>
  <c r="CC100" i="12"/>
  <c r="CD100" i="12"/>
  <c r="BZ100" i="12"/>
  <c r="DQ100" i="12" s="1"/>
  <c r="CA100" i="12"/>
  <c r="BT100" i="12"/>
  <c r="BU100" i="12"/>
  <c r="BV100" i="12"/>
  <c r="DO100" i="12" s="1"/>
  <c r="BR100" i="12"/>
  <c r="DN100" i="12" s="1"/>
  <c r="BQ100" i="12"/>
  <c r="BS100" i="12"/>
  <c r="CB100" i="12"/>
  <c r="BY100" i="12"/>
  <c r="BX100" i="12"/>
  <c r="BW100" i="12"/>
  <c r="DP100" i="12" s="1"/>
  <c r="CB94" i="12"/>
  <c r="BX94" i="12"/>
  <c r="BS94" i="12"/>
  <c r="BT94" i="12"/>
  <c r="CA94" i="12"/>
  <c r="BU94" i="12"/>
  <c r="CC94" i="12"/>
  <c r="BR94" i="12"/>
  <c r="DN94" i="12" s="1"/>
  <c r="BV94" i="12"/>
  <c r="DO94" i="12" s="1"/>
  <c r="BQ94" i="12"/>
  <c r="BZ94" i="12"/>
  <c r="DQ94" i="12" s="1"/>
  <c r="CD94" i="12"/>
  <c r="BW94" i="12"/>
  <c r="DP94" i="12" s="1"/>
  <c r="BY94" i="12"/>
  <c r="BX156" i="13"/>
  <c r="BT156" i="13"/>
  <c r="BQ156" i="13"/>
  <c r="CB156" i="13"/>
  <c r="BY156" i="13"/>
  <c r="BU156" i="13"/>
  <c r="BZ156" i="13"/>
  <c r="DQ156" i="13" s="1"/>
  <c r="BV156" i="13"/>
  <c r="DO156" i="13" s="1"/>
  <c r="BS156" i="13"/>
  <c r="CD156" i="13"/>
  <c r="BW156" i="13"/>
  <c r="DP156" i="13" s="1"/>
  <c r="CC156" i="13"/>
  <c r="BR156" i="13"/>
  <c r="DN156" i="13" s="1"/>
  <c r="CA156" i="13"/>
  <c r="CC83" i="14"/>
  <c r="CD83" i="14"/>
  <c r="BU83" i="14"/>
  <c r="BV83" i="14"/>
  <c r="DO83" i="14" s="1"/>
  <c r="BR83" i="14"/>
  <c r="DN83" i="14" s="1"/>
  <c r="BT83" i="14"/>
  <c r="BY83" i="14"/>
  <c r="CA83" i="14"/>
  <c r="BX83" i="14"/>
  <c r="BZ83" i="14"/>
  <c r="DQ83" i="14" s="1"/>
  <c r="BQ83" i="14"/>
  <c r="BW83" i="14"/>
  <c r="DP83" i="14" s="1"/>
  <c r="CB83" i="14"/>
  <c r="BS83" i="14"/>
  <c r="AA66" i="12"/>
  <c r="AH66" i="12"/>
  <c r="AC66" i="12"/>
  <c r="AM66" i="12"/>
  <c r="AG66" i="12"/>
  <c r="DD66" i="12" s="1"/>
  <c r="AE66" i="12"/>
  <c r="AK66" i="12"/>
  <c r="AN66" i="12"/>
  <c r="AL66" i="12"/>
  <c r="AI66" i="12"/>
  <c r="AF66" i="12"/>
  <c r="DC66" i="12" s="1"/>
  <c r="AD66" i="12"/>
  <c r="AJ66" i="12"/>
  <c r="DE66" i="12" s="1"/>
  <c r="AB66" i="12"/>
  <c r="DB66" i="12" s="1"/>
  <c r="AH70" i="12"/>
  <c r="AD70" i="12"/>
  <c r="AC70" i="12"/>
  <c r="AL70" i="12"/>
  <c r="AF70" i="12"/>
  <c r="DC70" i="12" s="1"/>
  <c r="AK70" i="12"/>
  <c r="AN70" i="12"/>
  <c r="AA70" i="12"/>
  <c r="AI70" i="12"/>
  <c r="AB70" i="12"/>
  <c r="DB70" i="12" s="1"/>
  <c r="AJ70" i="12"/>
  <c r="DE70" i="12" s="1"/>
  <c r="AE70" i="12"/>
  <c r="AM70" i="12"/>
  <c r="AG70" i="12"/>
  <c r="DD70" i="12" s="1"/>
  <c r="AM17" i="15"/>
  <c r="AA17" i="15"/>
  <c r="AF17" i="15"/>
  <c r="DC17" i="15" s="1"/>
  <c r="AG17" i="15"/>
  <c r="DD17" i="15" s="1"/>
  <c r="AE17" i="15"/>
  <c r="AK17" i="15"/>
  <c r="AH17" i="15"/>
  <c r="AC17" i="15"/>
  <c r="AI17" i="15"/>
  <c r="AD17" i="15"/>
  <c r="AB17" i="15"/>
  <c r="DB17" i="15" s="1"/>
  <c r="AN17" i="15"/>
  <c r="AJ17" i="15"/>
  <c r="DE17" i="15" s="1"/>
  <c r="AL17" i="15"/>
  <c r="AO67" i="12"/>
  <c r="AQ67" i="12"/>
  <c r="AX67" i="12"/>
  <c r="DI67" i="12" s="1"/>
  <c r="AU67" i="12"/>
  <c r="DH67" i="12" s="1"/>
  <c r="BB67" i="12"/>
  <c r="AY67" i="12"/>
  <c r="AV67" i="12"/>
  <c r="AP67" i="12"/>
  <c r="DF67" i="12" s="1"/>
  <c r="AS67" i="12"/>
  <c r="BA67" i="12"/>
  <c r="AT67" i="12"/>
  <c r="DG67" i="12" s="1"/>
  <c r="AR67" i="12"/>
  <c r="AZ67" i="12"/>
  <c r="AW67" i="12"/>
  <c r="AS73" i="12"/>
  <c r="BB73" i="12"/>
  <c r="AU73" i="12"/>
  <c r="DH73" i="12" s="1"/>
  <c r="BA73" i="12"/>
  <c r="AP73" i="12"/>
  <c r="DF73" i="12" s="1"/>
  <c r="AR73" i="12"/>
  <c r="AO73" i="12"/>
  <c r="AZ73" i="12"/>
  <c r="AW73" i="12"/>
  <c r="AV73" i="12"/>
  <c r="AY73" i="12"/>
  <c r="AQ73" i="12"/>
  <c r="AX73" i="12"/>
  <c r="DI73" i="12" s="1"/>
  <c r="AT73" i="12"/>
  <c r="DG73" i="12" s="1"/>
  <c r="AZ97" i="12"/>
  <c r="AR97" i="12"/>
  <c r="AV97" i="12"/>
  <c r="AT97" i="12"/>
  <c r="DG97" i="12" s="1"/>
  <c r="AP97" i="12"/>
  <c r="DF97" i="12" s="1"/>
  <c r="AS97" i="12"/>
  <c r="BB97" i="12"/>
  <c r="AX97" i="12"/>
  <c r="DI97" i="12" s="1"/>
  <c r="AQ97" i="12"/>
  <c r="BA97" i="12"/>
  <c r="AY97" i="12"/>
  <c r="AO97" i="12"/>
  <c r="AU97" i="12"/>
  <c r="DH97" i="12" s="1"/>
  <c r="AW97" i="12"/>
  <c r="AT83" i="14"/>
  <c r="DG83" i="14" s="1"/>
  <c r="AX83" i="14"/>
  <c r="DI83" i="14" s="1"/>
  <c r="BA83" i="14"/>
  <c r="AP83" i="14"/>
  <c r="DF83" i="14" s="1"/>
  <c r="AS83" i="14"/>
  <c r="AV83" i="14"/>
  <c r="AZ83" i="14"/>
  <c r="AR83" i="14"/>
  <c r="AU83" i="14"/>
  <c r="DH83" i="14" s="1"/>
  <c r="AO83" i="14"/>
  <c r="BB83" i="14"/>
  <c r="AQ83" i="14"/>
  <c r="AW83" i="14"/>
  <c r="AY83" i="14"/>
  <c r="O64" i="12"/>
  <c r="V64" i="12"/>
  <c r="T64" i="12"/>
  <c r="X64" i="12"/>
  <c r="U64" i="12"/>
  <c r="Q64" i="12"/>
  <c r="Y64" i="12"/>
  <c r="N64" i="12"/>
  <c r="M64" i="12"/>
  <c r="P64" i="12"/>
  <c r="W64" i="12"/>
  <c r="R64" i="12"/>
  <c r="S64" i="12"/>
  <c r="Z64" i="12"/>
  <c r="P114" i="13"/>
  <c r="O114" i="13"/>
  <c r="X114" i="13"/>
  <c r="W114" i="13"/>
  <c r="Q114" i="13"/>
  <c r="M114" i="13"/>
  <c r="Y114" i="13"/>
  <c r="N114" i="13"/>
  <c r="R114" i="13"/>
  <c r="U114" i="13"/>
  <c r="Z114" i="13"/>
  <c r="V114" i="13"/>
  <c r="T114" i="13"/>
  <c r="S114" i="13"/>
  <c r="T108" i="13"/>
  <c r="M108" i="13"/>
  <c r="N108" i="13"/>
  <c r="P108" i="13"/>
  <c r="V108" i="13"/>
  <c r="O108" i="13"/>
  <c r="R108" i="13"/>
  <c r="U108" i="13"/>
  <c r="Q108" i="13"/>
  <c r="W108" i="13"/>
  <c r="S108" i="13"/>
  <c r="X108" i="13"/>
  <c r="Y108" i="13"/>
  <c r="Z108" i="13"/>
  <c r="M37" i="14"/>
  <c r="X37" i="14"/>
  <c r="W37" i="14"/>
  <c r="V37" i="14"/>
  <c r="Y37" i="14"/>
  <c r="N37" i="14"/>
  <c r="Q37" i="14"/>
  <c r="O37" i="14"/>
  <c r="Z37" i="14"/>
  <c r="T37" i="14"/>
  <c r="S37" i="14"/>
  <c r="R37" i="14"/>
  <c r="U37" i="14"/>
  <c r="P37" i="14"/>
  <c r="BL91" i="12"/>
  <c r="DM91" i="12" s="1"/>
  <c r="BK91" i="12"/>
  <c r="BJ91" i="12"/>
  <c r="BG91" i="12"/>
  <c r="BF91" i="12"/>
  <c r="BO91" i="12"/>
  <c r="BE91" i="12"/>
  <c r="BI91" i="12"/>
  <c r="DL91" i="12" s="1"/>
  <c r="BN91" i="12"/>
  <c r="BD91" i="12"/>
  <c r="DJ91" i="12" s="1"/>
  <c r="BM91" i="12"/>
  <c r="BC91" i="12"/>
  <c r="BH91" i="12"/>
  <c r="DK91" i="12" s="1"/>
  <c r="BP91" i="12"/>
  <c r="BK89" i="12"/>
  <c r="BL89" i="12"/>
  <c r="DM89" i="12" s="1"/>
  <c r="BI89" i="12"/>
  <c r="DL89" i="12" s="1"/>
  <c r="BF89" i="12"/>
  <c r="BG89" i="12"/>
  <c r="BH89" i="12"/>
  <c r="DK89" i="12" s="1"/>
  <c r="BE89" i="12"/>
  <c r="BN89" i="12"/>
  <c r="BO89" i="12"/>
  <c r="BP89" i="12"/>
  <c r="BM89" i="12"/>
  <c r="BC89" i="12"/>
  <c r="BD89" i="12"/>
  <c r="DJ89" i="12" s="1"/>
  <c r="BJ89" i="12"/>
  <c r="BJ81" i="14"/>
  <c r="BF81" i="14"/>
  <c r="BI81" i="14"/>
  <c r="DL81" i="14" s="1"/>
  <c r="BE81" i="14"/>
  <c r="BM81" i="14"/>
  <c r="BL81" i="14"/>
  <c r="DM81" i="14" s="1"/>
  <c r="BP81" i="14"/>
  <c r="BD81" i="14"/>
  <c r="DJ81" i="14" s="1"/>
  <c r="BH81" i="14"/>
  <c r="DK81" i="14" s="1"/>
  <c r="BO81" i="14"/>
  <c r="BC81" i="14"/>
  <c r="BN81" i="14"/>
  <c r="BK81" i="14"/>
  <c r="BG81" i="14"/>
  <c r="BI84" i="14"/>
  <c r="DL84" i="14" s="1"/>
  <c r="BF84" i="14"/>
  <c r="BC84" i="14"/>
  <c r="BM84" i="14"/>
  <c r="BP84" i="14"/>
  <c r="BE84" i="14"/>
  <c r="BH84" i="14"/>
  <c r="DK84" i="14" s="1"/>
  <c r="BL84" i="14"/>
  <c r="DM84" i="14" s="1"/>
  <c r="BO84" i="14"/>
  <c r="BD84" i="14"/>
  <c r="DJ84" i="14" s="1"/>
  <c r="BK84" i="14"/>
  <c r="BN84" i="14"/>
  <c r="BG84" i="14"/>
  <c r="BJ84" i="14"/>
  <c r="BE79" i="14"/>
  <c r="BH79" i="14"/>
  <c r="DK79" i="14" s="1"/>
  <c r="BL79" i="14"/>
  <c r="DM79" i="14" s="1"/>
  <c r="BD79" i="14"/>
  <c r="DJ79" i="14" s="1"/>
  <c r="BO79" i="14"/>
  <c r="BI79" i="14"/>
  <c r="DL79" i="14" s="1"/>
  <c r="BG79" i="14"/>
  <c r="BK79" i="14"/>
  <c r="BN79" i="14"/>
  <c r="BC79" i="14"/>
  <c r="BM79" i="14"/>
  <c r="BP79" i="14"/>
  <c r="BJ79" i="14"/>
  <c r="BF79" i="14"/>
  <c r="BL149" i="13"/>
  <c r="DM149" i="13" s="1"/>
  <c r="BO149" i="13"/>
  <c r="BE149" i="13"/>
  <c r="BF149" i="13"/>
  <c r="BM149" i="13"/>
  <c r="BH149" i="13"/>
  <c r="DK149" i="13" s="1"/>
  <c r="BJ149" i="13"/>
  <c r="BP149" i="13"/>
  <c r="BC149" i="13"/>
  <c r="BG149" i="13"/>
  <c r="BD149" i="13"/>
  <c r="DJ149" i="13" s="1"/>
  <c r="BN149" i="13"/>
  <c r="BK149" i="13"/>
  <c r="BI149" i="13"/>
  <c r="DL149" i="13" s="1"/>
  <c r="BJ65" i="12"/>
  <c r="BO65" i="12"/>
  <c r="BE65" i="12"/>
  <c r="BF65" i="12"/>
  <c r="BP65" i="12"/>
  <c r="BG65" i="12"/>
  <c r="BN65" i="12"/>
  <c r="BL65" i="12"/>
  <c r="DM65" i="12" s="1"/>
  <c r="BH65" i="12"/>
  <c r="DK65" i="12" s="1"/>
  <c r="BM65" i="12"/>
  <c r="BD65" i="12"/>
  <c r="DJ65" i="12" s="1"/>
  <c r="BK65" i="12"/>
  <c r="BI65" i="12"/>
  <c r="DL65" i="12" s="1"/>
  <c r="BC65" i="12"/>
  <c r="BE73" i="12"/>
  <c r="BG73" i="12"/>
  <c r="BD73" i="12"/>
  <c r="DJ73" i="12" s="1"/>
  <c r="BN73" i="12"/>
  <c r="BJ73" i="12"/>
  <c r="BH73" i="12"/>
  <c r="DK73" i="12" s="1"/>
  <c r="BP73" i="12"/>
  <c r="BO73" i="12"/>
  <c r="BC73" i="12"/>
  <c r="BF73" i="12"/>
  <c r="BI73" i="12"/>
  <c r="DL73" i="12" s="1"/>
  <c r="BL73" i="12"/>
  <c r="DM73" i="12" s="1"/>
  <c r="BM73" i="12"/>
  <c r="BK73" i="12"/>
  <c r="BE110" i="13"/>
  <c r="BM110" i="13"/>
  <c r="BI110" i="13"/>
  <c r="DL110" i="13" s="1"/>
  <c r="BF110" i="13"/>
  <c r="BJ110" i="13"/>
  <c r="BN110" i="13"/>
  <c r="BC110" i="13"/>
  <c r="BG110" i="13"/>
  <c r="BK110" i="13"/>
  <c r="BH110" i="13"/>
  <c r="DK110" i="13" s="1"/>
  <c r="BL110" i="13"/>
  <c r="DM110" i="13" s="1"/>
  <c r="BP110" i="13"/>
  <c r="BD110" i="13"/>
  <c r="DJ110" i="13" s="1"/>
  <c r="BO110" i="13"/>
  <c r="BG109" i="13"/>
  <c r="BC109" i="13"/>
  <c r="BO109" i="13"/>
  <c r="BK109" i="13"/>
  <c r="BH109" i="13"/>
  <c r="DK109" i="13" s="1"/>
  <c r="BP109" i="13"/>
  <c r="BE109" i="13"/>
  <c r="BI109" i="13"/>
  <c r="DL109" i="13" s="1"/>
  <c r="BM109" i="13"/>
  <c r="BJ109" i="13"/>
  <c r="BN109" i="13"/>
  <c r="BL109" i="13"/>
  <c r="DM109" i="13" s="1"/>
  <c r="BF109" i="13"/>
  <c r="BD109" i="13"/>
  <c r="DJ109" i="13" s="1"/>
  <c r="BF107" i="13"/>
  <c r="BH107" i="13"/>
  <c r="DK107" i="13" s="1"/>
  <c r="BN107" i="13"/>
  <c r="BM107" i="13"/>
  <c r="BI107" i="13"/>
  <c r="DL107" i="13" s="1"/>
  <c r="BO107" i="13"/>
  <c r="BC107" i="13"/>
  <c r="BP107" i="13"/>
  <c r="BK107" i="13"/>
  <c r="BE107" i="13"/>
  <c r="BG107" i="13"/>
  <c r="BJ107" i="13"/>
  <c r="BD107" i="13"/>
  <c r="DJ107" i="13" s="1"/>
  <c r="BL107" i="13"/>
  <c r="DM107" i="13" s="1"/>
  <c r="BZ95" i="12"/>
  <c r="DQ95" i="12" s="1"/>
  <c r="CB95" i="12"/>
  <c r="BW95" i="12"/>
  <c r="DP95" i="12" s="1"/>
  <c r="CA95" i="12"/>
  <c r="BV95" i="12"/>
  <c r="DO95" i="12" s="1"/>
  <c r="BR95" i="12"/>
  <c r="DN95" i="12" s="1"/>
  <c r="CD95" i="12"/>
  <c r="BQ95" i="12"/>
  <c r="BY95" i="12"/>
  <c r="BU95" i="12"/>
  <c r="BS95" i="12"/>
  <c r="CC95" i="12"/>
  <c r="BT95" i="12"/>
  <c r="BX95" i="12"/>
  <c r="CD92" i="12"/>
  <c r="BV92" i="12"/>
  <c r="DO92" i="12" s="1"/>
  <c r="CC92" i="12"/>
  <c r="BU92" i="12"/>
  <c r="CB92" i="12"/>
  <c r="BT92" i="12"/>
  <c r="CA92" i="12"/>
  <c r="BS92" i="12"/>
  <c r="BZ92" i="12"/>
  <c r="DQ92" i="12" s="1"/>
  <c r="BR92" i="12"/>
  <c r="DN92" i="12" s="1"/>
  <c r="BY92" i="12"/>
  <c r="BQ92" i="12"/>
  <c r="BX92" i="12"/>
  <c r="BW92" i="12"/>
  <c r="DP92" i="12" s="1"/>
  <c r="AG67" i="12"/>
  <c r="DD67" i="12" s="1"/>
  <c r="AC67" i="12"/>
  <c r="AA67" i="12"/>
  <c r="AE67" i="12"/>
  <c r="AF67" i="12"/>
  <c r="DC67" i="12" s="1"/>
  <c r="AK67" i="12"/>
  <c r="AM67" i="12"/>
  <c r="AI67" i="12"/>
  <c r="AN67" i="12"/>
  <c r="AL67" i="12"/>
  <c r="AJ67" i="12"/>
  <c r="DE67" i="12" s="1"/>
  <c r="AD67" i="12"/>
  <c r="AB67" i="12"/>
  <c r="DB67" i="12" s="1"/>
  <c r="AH67" i="12"/>
  <c r="AG69" i="12"/>
  <c r="DD69" i="12" s="1"/>
  <c r="AL69" i="12"/>
  <c r="AA69" i="12"/>
  <c r="AK69" i="12"/>
  <c r="AH69" i="12"/>
  <c r="AF69" i="12"/>
  <c r="DC69" i="12" s="1"/>
  <c r="AC69" i="12"/>
  <c r="AN69" i="12"/>
  <c r="AM69" i="12"/>
  <c r="AE69" i="12"/>
  <c r="AD69" i="12"/>
  <c r="AB69" i="12"/>
  <c r="DB69" i="12" s="1"/>
  <c r="AJ69" i="12"/>
  <c r="DE69" i="12" s="1"/>
  <c r="AI69" i="12"/>
  <c r="AE37" i="14"/>
  <c r="AM37" i="14"/>
  <c r="AD37" i="14"/>
  <c r="AF37" i="14"/>
  <c r="DC37" i="14" s="1"/>
  <c r="AG37" i="14"/>
  <c r="DD37" i="14" s="1"/>
  <c r="AH37" i="14"/>
  <c r="AA37" i="14"/>
  <c r="AK37" i="14"/>
  <c r="AL37" i="14"/>
  <c r="AN37" i="14"/>
  <c r="AI37" i="14"/>
  <c r="AB37" i="14"/>
  <c r="DB37" i="14" s="1"/>
  <c r="AC37" i="14"/>
  <c r="AJ37" i="14"/>
  <c r="DE37" i="14" s="1"/>
  <c r="AH104" i="13"/>
  <c r="AM104" i="13"/>
  <c r="AB104" i="13"/>
  <c r="DB104" i="13" s="1"/>
  <c r="AF104" i="13"/>
  <c r="DC104" i="13" s="1"/>
  <c r="AJ104" i="13"/>
  <c r="DE104" i="13" s="1"/>
  <c r="AN104" i="13"/>
  <c r="AC104" i="13"/>
  <c r="AG104" i="13"/>
  <c r="DD104" i="13" s="1"/>
  <c r="AK104" i="13"/>
  <c r="AA104" i="13"/>
  <c r="AD104" i="13"/>
  <c r="AI104" i="13"/>
  <c r="AE104" i="13"/>
  <c r="AL104" i="13"/>
  <c r="AH106" i="13"/>
  <c r="AL106" i="13"/>
  <c r="AA106" i="13"/>
  <c r="AE106" i="13"/>
  <c r="AI106" i="13"/>
  <c r="AM106" i="13"/>
  <c r="AB106" i="13"/>
  <c r="DB106" i="13" s="1"/>
  <c r="AG106" i="13"/>
  <c r="DD106" i="13" s="1"/>
  <c r="AC106" i="13"/>
  <c r="AF106" i="13"/>
  <c r="DC106" i="13" s="1"/>
  <c r="AK106" i="13"/>
  <c r="AN106" i="13"/>
  <c r="AJ106" i="13"/>
  <c r="DE106" i="13" s="1"/>
  <c r="AD106" i="13"/>
  <c r="AR70" i="12"/>
  <c r="AU70" i="12"/>
  <c r="DH70" i="12" s="1"/>
  <c r="AP70" i="12"/>
  <c r="DF70" i="12" s="1"/>
  <c r="BB70" i="12"/>
  <c r="AX70" i="12"/>
  <c r="DI70" i="12" s="1"/>
  <c r="BA70" i="12"/>
  <c r="AV70" i="12"/>
  <c r="AS70" i="12"/>
  <c r="AZ70" i="12"/>
  <c r="AW70" i="12"/>
  <c r="AY70" i="12"/>
  <c r="AT70" i="12"/>
  <c r="DG70" i="12" s="1"/>
  <c r="AQ70" i="12"/>
  <c r="AO70" i="12"/>
  <c r="AU68" i="12"/>
  <c r="DH68" i="12" s="1"/>
  <c r="BB68" i="12"/>
  <c r="BA68" i="12"/>
  <c r="AO68" i="12"/>
  <c r="AS68" i="12"/>
  <c r="AQ68" i="12"/>
  <c r="AW68" i="12"/>
  <c r="AT68" i="12"/>
  <c r="DG68" i="12" s="1"/>
  <c r="AY68" i="12"/>
  <c r="AZ68" i="12"/>
  <c r="AR68" i="12"/>
  <c r="AX68" i="12"/>
  <c r="DI68" i="12" s="1"/>
  <c r="AP68" i="12"/>
  <c r="DF68" i="12" s="1"/>
  <c r="AV68" i="12"/>
  <c r="AX109" i="13"/>
  <c r="DI109" i="13" s="1"/>
  <c r="BB109" i="13"/>
  <c r="AQ109" i="13"/>
  <c r="AV109" i="13"/>
  <c r="AY109" i="13"/>
  <c r="AU109" i="13"/>
  <c r="DH109" i="13" s="1"/>
  <c r="AR109" i="13"/>
  <c r="AZ109" i="13"/>
  <c r="AW109" i="13"/>
  <c r="BA109" i="13"/>
  <c r="AO109" i="13"/>
  <c r="AP109" i="13"/>
  <c r="DF109" i="13" s="1"/>
  <c r="AS109" i="13"/>
  <c r="AT109" i="13"/>
  <c r="DG109" i="13" s="1"/>
  <c r="AZ111" i="13"/>
  <c r="AO111" i="13"/>
  <c r="AS111" i="13"/>
  <c r="AW111" i="13"/>
  <c r="BA111" i="13"/>
  <c r="AP111" i="13"/>
  <c r="DF111" i="13" s="1"/>
  <c r="AT111" i="13"/>
  <c r="DG111" i="13" s="1"/>
  <c r="AX111" i="13"/>
  <c r="DI111" i="13" s="1"/>
  <c r="AU111" i="13"/>
  <c r="DH111" i="13" s="1"/>
  <c r="AQ111" i="13"/>
  <c r="AV111" i="13"/>
  <c r="BB111" i="13"/>
  <c r="AY111" i="13"/>
  <c r="AR111" i="13"/>
  <c r="E101" i="12"/>
  <c r="AP100" i="12"/>
  <c r="DF100" i="12" s="1"/>
  <c r="AW100" i="12"/>
  <c r="AZ100" i="12"/>
  <c r="BA100" i="12"/>
  <c r="AV100" i="12"/>
  <c r="AQ100" i="12"/>
  <c r="AT100" i="12"/>
  <c r="DG100" i="12" s="1"/>
  <c r="BB100" i="12"/>
  <c r="AR100" i="12"/>
  <c r="AS100" i="12"/>
  <c r="AX100" i="12"/>
  <c r="DI100" i="12" s="1"/>
  <c r="AO100" i="12"/>
  <c r="AY100" i="12"/>
  <c r="AU100" i="12"/>
  <c r="DH100" i="12" s="1"/>
  <c r="AR92" i="12"/>
  <c r="AY92" i="12"/>
  <c r="AZ92" i="12"/>
  <c r="AS92" i="12"/>
  <c r="BA92" i="12"/>
  <c r="AO92" i="12"/>
  <c r="AW92" i="12"/>
  <c r="AP92" i="12"/>
  <c r="DF92" i="12" s="1"/>
  <c r="AQ92" i="12"/>
  <c r="AX92" i="12"/>
  <c r="DI92" i="12" s="1"/>
  <c r="AT92" i="12"/>
  <c r="DG92" i="12" s="1"/>
  <c r="AU92" i="12"/>
  <c r="DH92" i="12" s="1"/>
  <c r="BB92" i="12"/>
  <c r="AV92" i="12"/>
  <c r="AU60" i="15"/>
  <c r="DH60" i="15" s="1"/>
  <c r="BB60" i="15"/>
  <c r="AT60" i="15"/>
  <c r="DG60" i="15" s="1"/>
  <c r="BA60" i="15"/>
  <c r="AS60" i="15"/>
  <c r="AO60" i="15"/>
  <c r="AZ60" i="15"/>
  <c r="AR60" i="15"/>
  <c r="AY60" i="15"/>
  <c r="AQ60" i="15"/>
  <c r="AX60" i="15"/>
  <c r="DI60" i="15" s="1"/>
  <c r="AP60" i="15"/>
  <c r="DF60" i="15" s="1"/>
  <c r="AV60" i="15"/>
  <c r="AW60" i="15"/>
  <c r="O67" i="12"/>
  <c r="W67" i="12"/>
  <c r="CO67" i="12" s="1"/>
  <c r="T67" i="12"/>
  <c r="CL67" i="12" s="1"/>
  <c r="P67" i="12"/>
  <c r="M67" i="12"/>
  <c r="X67" i="12"/>
  <c r="U67" i="12"/>
  <c r="CM67" i="12" s="1"/>
  <c r="Q67" i="12"/>
  <c r="N67" i="12"/>
  <c r="Y67" i="12"/>
  <c r="V67" i="12"/>
  <c r="R67" i="12"/>
  <c r="Z67" i="12"/>
  <c r="S67" i="12"/>
  <c r="Q72" i="12"/>
  <c r="W72" i="12"/>
  <c r="N72" i="12"/>
  <c r="O72" i="12"/>
  <c r="P72" i="12"/>
  <c r="V72" i="12"/>
  <c r="X72" i="12"/>
  <c r="R72" i="12"/>
  <c r="U72" i="12"/>
  <c r="M72" i="12"/>
  <c r="T72" i="12"/>
  <c r="S72" i="12"/>
  <c r="Y72" i="12"/>
  <c r="Z72" i="12"/>
  <c r="Z104" i="13"/>
  <c r="P104" i="13"/>
  <c r="T104" i="13"/>
  <c r="X104" i="13"/>
  <c r="M104" i="13"/>
  <c r="Q104" i="13"/>
  <c r="U104" i="13"/>
  <c r="Y104" i="13"/>
  <c r="N104" i="13"/>
  <c r="S104" i="13"/>
  <c r="O104" i="13"/>
  <c r="V104" i="13"/>
  <c r="W104" i="13"/>
  <c r="R104" i="13"/>
  <c r="R41" i="14"/>
  <c r="N41" i="14"/>
  <c r="M41" i="14"/>
  <c r="V41" i="14"/>
  <c r="Y41" i="14"/>
  <c r="U41" i="14"/>
  <c r="Z41" i="14"/>
  <c r="O41" i="14"/>
  <c r="W41" i="14"/>
  <c r="P41" i="14"/>
  <c r="X41" i="14"/>
  <c r="Q41" i="14"/>
  <c r="T41" i="14"/>
  <c r="S41" i="14"/>
  <c r="BP99" i="12"/>
  <c r="BN99" i="12"/>
  <c r="BJ99" i="12"/>
  <c r="BI99" i="12"/>
  <c r="DL99" i="12" s="1"/>
  <c r="BH99" i="12"/>
  <c r="DK99" i="12" s="1"/>
  <c r="BK99" i="12"/>
  <c r="BF99" i="12"/>
  <c r="BG99" i="12"/>
  <c r="BE99" i="12"/>
  <c r="BO99" i="12"/>
  <c r="BM99" i="12"/>
  <c r="BD99" i="12"/>
  <c r="DJ99" i="12" s="1"/>
  <c r="BL99" i="12"/>
  <c r="DM99" i="12" s="1"/>
  <c r="BC99" i="12"/>
  <c r="BN98" i="12"/>
  <c r="BG98" i="12"/>
  <c r="BH98" i="12"/>
  <c r="DK98" i="12" s="1"/>
  <c r="BI98" i="12"/>
  <c r="DL98" i="12" s="1"/>
  <c r="BF98" i="12"/>
  <c r="BP98" i="12"/>
  <c r="BJ98" i="12"/>
  <c r="BO98" i="12"/>
  <c r="BC98" i="12"/>
  <c r="BK98" i="12"/>
  <c r="BD98" i="12"/>
  <c r="DJ98" i="12" s="1"/>
  <c r="BE98" i="12"/>
  <c r="BL98" i="12"/>
  <c r="DM98" i="12" s="1"/>
  <c r="BM98" i="12"/>
  <c r="BI156" i="13"/>
  <c r="DL156" i="13" s="1"/>
  <c r="BM156" i="13"/>
  <c r="BJ156" i="13"/>
  <c r="BF156" i="13"/>
  <c r="BC156" i="13"/>
  <c r="BN156" i="13"/>
  <c r="BK156" i="13"/>
  <c r="BG156" i="13"/>
  <c r="BL156" i="13"/>
  <c r="DM156" i="13" s="1"/>
  <c r="BP156" i="13"/>
  <c r="BH156" i="13"/>
  <c r="DK156" i="13" s="1"/>
  <c r="BD156" i="13"/>
  <c r="DJ156" i="13" s="1"/>
  <c r="BE156" i="13"/>
  <c r="BO156" i="13"/>
  <c r="BO83" i="14"/>
  <c r="BD83" i="14"/>
  <c r="DJ83" i="14" s="1"/>
  <c r="BG83" i="14"/>
  <c r="BK83" i="14"/>
  <c r="BF83" i="14"/>
  <c r="BJ83" i="14"/>
  <c r="BM83" i="14"/>
  <c r="BP83" i="14"/>
  <c r="BI83" i="14"/>
  <c r="DL83" i="14" s="1"/>
  <c r="BN83" i="14"/>
  <c r="BE83" i="14"/>
  <c r="BL83" i="14"/>
  <c r="DM83" i="14" s="1"/>
  <c r="BC83" i="14"/>
  <c r="BH83" i="14"/>
  <c r="DK83" i="14" s="1"/>
  <c r="BD153" i="13"/>
  <c r="DJ153" i="13" s="1"/>
  <c r="BH153" i="13"/>
  <c r="DK153" i="13" s="1"/>
  <c r="BL153" i="13"/>
  <c r="DM153" i="13" s="1"/>
  <c r="BP153" i="13"/>
  <c r="BE153" i="13"/>
  <c r="BI153" i="13"/>
  <c r="DL153" i="13" s="1"/>
  <c r="BM153" i="13"/>
  <c r="BJ153" i="13"/>
  <c r="BF153" i="13"/>
  <c r="BN153" i="13"/>
  <c r="BK153" i="13"/>
  <c r="BO153" i="13"/>
  <c r="BC153" i="13"/>
  <c r="BG153" i="13"/>
  <c r="BG71" i="12"/>
  <c r="BN71" i="12"/>
  <c r="BL71" i="12"/>
  <c r="DM71" i="12" s="1"/>
  <c r="BF71" i="12"/>
  <c r="BD71" i="12"/>
  <c r="DJ71" i="12" s="1"/>
  <c r="BM71" i="12"/>
  <c r="BE71" i="12"/>
  <c r="BJ71" i="12"/>
  <c r="BI71" i="12"/>
  <c r="DL71" i="12" s="1"/>
  <c r="BP71" i="12"/>
  <c r="BH71" i="12"/>
  <c r="DK71" i="12" s="1"/>
  <c r="BK71" i="12"/>
  <c r="BC71" i="12"/>
  <c r="BO71" i="12"/>
  <c r="BD68" i="12"/>
  <c r="DJ68" i="12" s="1"/>
  <c r="BN68" i="12"/>
  <c r="BK68" i="12"/>
  <c r="BJ68" i="12"/>
  <c r="BO68" i="12"/>
  <c r="BE68" i="12"/>
  <c r="BF68" i="12"/>
  <c r="BI68" i="12"/>
  <c r="DL68" i="12" s="1"/>
  <c r="BP68" i="12"/>
  <c r="BM68" i="12"/>
  <c r="BL68" i="12"/>
  <c r="DM68" i="12" s="1"/>
  <c r="BG68" i="12"/>
  <c r="BC68" i="12"/>
  <c r="BH68" i="12"/>
  <c r="DK68" i="12" s="1"/>
  <c r="BK37" i="14"/>
  <c r="BF37" i="14"/>
  <c r="BE37" i="14"/>
  <c r="BN37" i="14"/>
  <c r="BG37" i="14"/>
  <c r="BM37" i="14"/>
  <c r="BO37" i="14"/>
  <c r="BH37" i="14"/>
  <c r="DK37" i="14" s="1"/>
  <c r="BI37" i="14"/>
  <c r="DL37" i="14" s="1"/>
  <c r="BD37" i="14"/>
  <c r="DJ37" i="14" s="1"/>
  <c r="BL37" i="14"/>
  <c r="DM37" i="14" s="1"/>
  <c r="BC37" i="14"/>
  <c r="BJ37" i="14"/>
  <c r="BP37" i="14"/>
  <c r="BI113" i="13"/>
  <c r="DL113" i="13" s="1"/>
  <c r="BE113" i="13"/>
  <c r="BJ113" i="13"/>
  <c r="BF113" i="13"/>
  <c r="BC113" i="13"/>
  <c r="BM113" i="13"/>
  <c r="BK113" i="13"/>
  <c r="BN113" i="13"/>
  <c r="BD113" i="13"/>
  <c r="DJ113" i="13" s="1"/>
  <c r="BL113" i="13"/>
  <c r="DM113" i="13" s="1"/>
  <c r="BP113" i="13"/>
  <c r="BO113" i="13"/>
  <c r="BG113" i="13"/>
  <c r="BH113" i="13"/>
  <c r="DK113" i="13" s="1"/>
  <c r="BE111" i="13"/>
  <c r="BJ111" i="13"/>
  <c r="BM111" i="13"/>
  <c r="BK111" i="13"/>
  <c r="BF111" i="13"/>
  <c r="BL111" i="13"/>
  <c r="DM111" i="13" s="1"/>
  <c r="BN111" i="13"/>
  <c r="BP111" i="13"/>
  <c r="BG111" i="13"/>
  <c r="BD111" i="13"/>
  <c r="DJ111" i="13" s="1"/>
  <c r="BO111" i="13"/>
  <c r="BC111" i="13"/>
  <c r="BH111" i="13"/>
  <c r="DK111" i="13" s="1"/>
  <c r="BI111" i="13"/>
  <c r="DL111" i="13" s="1"/>
  <c r="I56" i="8"/>
  <c r="H29" i="15"/>
  <c r="I29" i="15" s="1"/>
  <c r="H73" i="12"/>
  <c r="H67" i="12"/>
  <c r="H68" i="12"/>
  <c r="H66" i="12"/>
  <c r="H72" i="12"/>
  <c r="H69" i="12"/>
  <c r="H71" i="12"/>
  <c r="H70" i="12"/>
  <c r="H65" i="12"/>
  <c r="H63" i="12"/>
  <c r="H62" i="12"/>
  <c r="H64" i="12"/>
  <c r="H74" i="12"/>
  <c r="BZ91" i="12"/>
  <c r="DQ91" i="12" s="1"/>
  <c r="BV91" i="12"/>
  <c r="DO91" i="12" s="1"/>
  <c r="BW91" i="12"/>
  <c r="DP91" i="12" s="1"/>
  <c r="BS91" i="12"/>
  <c r="CD91" i="12"/>
  <c r="BQ91" i="12"/>
  <c r="BR91" i="12"/>
  <c r="DN91" i="12" s="1"/>
  <c r="BY91" i="12"/>
  <c r="BU91" i="12"/>
  <c r="CC91" i="12"/>
  <c r="CA91" i="12"/>
  <c r="BT91" i="12"/>
  <c r="CB91" i="12"/>
  <c r="BX91" i="12"/>
  <c r="CA89" i="12"/>
  <c r="BS89" i="12"/>
  <c r="BZ89" i="12"/>
  <c r="DQ89" i="12" s="1"/>
  <c r="BQ89" i="12"/>
  <c r="BY89" i="12"/>
  <c r="BR89" i="12"/>
  <c r="DN89" i="12" s="1"/>
  <c r="BT89" i="12"/>
  <c r="BU89" i="12"/>
  <c r="BV89" i="12"/>
  <c r="DO89" i="12" s="1"/>
  <c r="CB89" i="12"/>
  <c r="CC89" i="12"/>
  <c r="CD89" i="12"/>
  <c r="BW89" i="12"/>
  <c r="DP89" i="12" s="1"/>
  <c r="BX89" i="12"/>
  <c r="BV147" i="13"/>
  <c r="DO147" i="13" s="1"/>
  <c r="CD147" i="13"/>
  <c r="BS147" i="13"/>
  <c r="BW147" i="13"/>
  <c r="DP147" i="13" s="1"/>
  <c r="CA147" i="13"/>
  <c r="BX147" i="13"/>
  <c r="BT147" i="13"/>
  <c r="BR147" i="13"/>
  <c r="DN147" i="13" s="1"/>
  <c r="CB147" i="13"/>
  <c r="BZ147" i="13"/>
  <c r="DQ147" i="13" s="1"/>
  <c r="CC147" i="13"/>
  <c r="BY147" i="13"/>
  <c r="BU147" i="13"/>
  <c r="BQ147" i="13"/>
  <c r="AB63" i="12"/>
  <c r="DB63" i="12" s="1"/>
  <c r="AK63" i="12"/>
  <c r="AC63" i="12"/>
  <c r="AN63" i="12"/>
  <c r="AM63" i="12"/>
  <c r="AF63" i="12"/>
  <c r="DC63" i="12" s="1"/>
  <c r="AE63" i="12"/>
  <c r="AH63" i="12"/>
  <c r="AG63" i="12"/>
  <c r="DD63" i="12" s="1"/>
  <c r="AD63" i="12"/>
  <c r="AJ63" i="12"/>
  <c r="DE63" i="12" s="1"/>
  <c r="AA63" i="12"/>
  <c r="AI63" i="12"/>
  <c r="AL63" i="12"/>
  <c r="AG72" i="12"/>
  <c r="DD72" i="12" s="1"/>
  <c r="AN72" i="12"/>
  <c r="AF72" i="12"/>
  <c r="DC72" i="12" s="1"/>
  <c r="AL72" i="12"/>
  <c r="AD72" i="12"/>
  <c r="AM72" i="12"/>
  <c r="AE72" i="12"/>
  <c r="AK72" i="12"/>
  <c r="AC72" i="12"/>
  <c r="AJ72" i="12"/>
  <c r="DE72" i="12" s="1"/>
  <c r="AI72" i="12"/>
  <c r="AB72" i="12"/>
  <c r="DB72" i="12" s="1"/>
  <c r="AA72" i="12"/>
  <c r="AH72" i="12"/>
  <c r="AM41" i="14"/>
  <c r="AJ41" i="14"/>
  <c r="DE41" i="14" s="1"/>
  <c r="AG41" i="14"/>
  <c r="DD41" i="14" s="1"/>
  <c r="AE41" i="14"/>
  <c r="AL41" i="14"/>
  <c r="AH41" i="14"/>
  <c r="AB41" i="14"/>
  <c r="DB41" i="14" s="1"/>
  <c r="AA41" i="14"/>
  <c r="AC41" i="14"/>
  <c r="AN41" i="14"/>
  <c r="AD41" i="14"/>
  <c r="AI41" i="14"/>
  <c r="AK41" i="14"/>
  <c r="AF41" i="14"/>
  <c r="DC41" i="14" s="1"/>
  <c r="AA108" i="13"/>
  <c r="AL108" i="13"/>
  <c r="AI108" i="13"/>
  <c r="AD108" i="13"/>
  <c r="AE108" i="13"/>
  <c r="AN108" i="13"/>
  <c r="AF108" i="13"/>
  <c r="DC108" i="13" s="1"/>
  <c r="AC108" i="13"/>
  <c r="AH108" i="13"/>
  <c r="AM108" i="13"/>
  <c r="AK108" i="13"/>
  <c r="AG108" i="13"/>
  <c r="DD108" i="13" s="1"/>
  <c r="AJ108" i="13"/>
  <c r="DE108" i="13" s="1"/>
  <c r="AB108" i="13"/>
  <c r="DB108" i="13" s="1"/>
  <c r="AL107" i="13"/>
  <c r="AB107" i="13"/>
  <c r="DB107" i="13" s="1"/>
  <c r="AE107" i="13"/>
  <c r="AI107" i="13"/>
  <c r="AM107" i="13"/>
  <c r="AJ107" i="13"/>
  <c r="DE107" i="13" s="1"/>
  <c r="AF107" i="13"/>
  <c r="DC107" i="13" s="1"/>
  <c r="AN107" i="13"/>
  <c r="AC107" i="13"/>
  <c r="AG107" i="13"/>
  <c r="DD107" i="13" s="1"/>
  <c r="AK107" i="13"/>
  <c r="AD107" i="13"/>
  <c r="AH107" i="13"/>
  <c r="AA107" i="13"/>
  <c r="AE110" i="13"/>
  <c r="AI110" i="13"/>
  <c r="AM110" i="13"/>
  <c r="AJ110" i="13"/>
  <c r="DE110" i="13" s="1"/>
  <c r="AF110" i="13"/>
  <c r="DC110" i="13" s="1"/>
  <c r="AN110" i="13"/>
  <c r="AC110" i="13"/>
  <c r="AG110" i="13"/>
  <c r="DD110" i="13" s="1"/>
  <c r="AK110" i="13"/>
  <c r="AH110" i="13"/>
  <c r="AL110" i="13"/>
  <c r="AB110" i="13"/>
  <c r="DB110" i="13" s="1"/>
  <c r="AD110" i="13"/>
  <c r="AA110" i="13"/>
  <c r="AS69" i="12"/>
  <c r="AU69" i="12"/>
  <c r="DH69" i="12" s="1"/>
  <c r="BB69" i="12"/>
  <c r="AO69" i="12"/>
  <c r="AQ69" i="12"/>
  <c r="AZ69" i="12"/>
  <c r="AT69" i="12"/>
  <c r="DG69" i="12" s="1"/>
  <c r="AY69" i="12"/>
  <c r="AR69" i="12"/>
  <c r="AW69" i="12"/>
  <c r="BA69" i="12"/>
  <c r="AX69" i="12"/>
  <c r="DI69" i="12" s="1"/>
  <c r="AP69" i="12"/>
  <c r="DF69" i="12" s="1"/>
  <c r="AV69" i="12"/>
  <c r="AS65" i="12"/>
  <c r="AZ65" i="12"/>
  <c r="AU65" i="12"/>
  <c r="DH65" i="12" s="1"/>
  <c r="AP65" i="12"/>
  <c r="DF65" i="12" s="1"/>
  <c r="AR65" i="12"/>
  <c r="AV65" i="12"/>
  <c r="AX65" i="12"/>
  <c r="DI65" i="12" s="1"/>
  <c r="AT65" i="12"/>
  <c r="DG65" i="12" s="1"/>
  <c r="BA65" i="12"/>
  <c r="BB65" i="12"/>
  <c r="AY65" i="12"/>
  <c r="AW65" i="12"/>
  <c r="AQ65" i="12"/>
  <c r="AO65" i="12"/>
  <c r="AV39" i="14"/>
  <c r="AU39" i="14"/>
  <c r="DH39" i="14" s="1"/>
  <c r="AR39" i="14"/>
  <c r="AT39" i="14"/>
  <c r="DG39" i="14" s="1"/>
  <c r="AO39" i="14"/>
  <c r="AZ39" i="14"/>
  <c r="AW39" i="14"/>
  <c r="AP39" i="14"/>
  <c r="DF39" i="14" s="1"/>
  <c r="AX39" i="14"/>
  <c r="DI39" i="14" s="1"/>
  <c r="AS39" i="14"/>
  <c r="AQ39" i="14"/>
  <c r="AY39" i="14"/>
  <c r="BB39" i="14"/>
  <c r="BA39" i="14"/>
  <c r="AT104" i="13"/>
  <c r="DG104" i="13" s="1"/>
  <c r="BB104" i="13"/>
  <c r="AP104" i="13"/>
  <c r="DF104" i="13" s="1"/>
  <c r="AU104" i="13"/>
  <c r="DH104" i="13" s="1"/>
  <c r="AX104" i="13"/>
  <c r="DI104" i="13" s="1"/>
  <c r="AV104" i="13"/>
  <c r="AZ104" i="13"/>
  <c r="AW104" i="13"/>
  <c r="AS104" i="13"/>
  <c r="AQ104" i="13"/>
  <c r="AO104" i="13"/>
  <c r="AY104" i="13"/>
  <c r="AR104" i="13"/>
  <c r="BA104" i="13"/>
  <c r="AZ115" i="13"/>
  <c r="AV115" i="13"/>
  <c r="AS115" i="13"/>
  <c r="BA115" i="13"/>
  <c r="AP115" i="13"/>
  <c r="DF115" i="13" s="1"/>
  <c r="AT115" i="13"/>
  <c r="DG115" i="13" s="1"/>
  <c r="AX115" i="13"/>
  <c r="DI115" i="13" s="1"/>
  <c r="BB115" i="13"/>
  <c r="AW115" i="13"/>
  <c r="AQ115" i="13"/>
  <c r="AO115" i="13"/>
  <c r="AY115" i="13"/>
  <c r="AR115" i="13"/>
  <c r="AU115" i="13"/>
  <c r="DH115" i="13" s="1"/>
  <c r="BA96" i="12"/>
  <c r="BB96" i="12"/>
  <c r="AT96" i="12"/>
  <c r="DG96" i="12" s="1"/>
  <c r="AV96" i="12"/>
  <c r="AW96" i="12"/>
  <c r="AP96" i="12"/>
  <c r="DF96" i="12" s="1"/>
  <c r="AX96" i="12"/>
  <c r="DI96" i="12" s="1"/>
  <c r="AU96" i="12"/>
  <c r="DH96" i="12" s="1"/>
  <c r="AQ96" i="12"/>
  <c r="AS96" i="12"/>
  <c r="AY96" i="12"/>
  <c r="AR96" i="12"/>
  <c r="AO96" i="12"/>
  <c r="AZ96" i="12"/>
  <c r="AX93" i="12"/>
  <c r="DI93" i="12" s="1"/>
  <c r="BB93" i="12"/>
  <c r="AP93" i="12"/>
  <c r="DF93" i="12" s="1"/>
  <c r="AQ93" i="12"/>
  <c r="AZ93" i="12"/>
  <c r="AV93" i="12"/>
  <c r="AO93" i="12"/>
  <c r="AY93" i="12"/>
  <c r="AW93" i="12"/>
  <c r="AS93" i="12"/>
  <c r="AU93" i="12"/>
  <c r="DH93" i="12" s="1"/>
  <c r="BA93" i="12"/>
  <c r="AR93" i="12"/>
  <c r="AT93" i="12"/>
  <c r="DG93" i="12" s="1"/>
  <c r="AU147" i="13"/>
  <c r="DH147" i="13" s="1"/>
  <c r="AR147" i="13"/>
  <c r="AV147" i="13"/>
  <c r="AT147" i="13"/>
  <c r="DG147" i="13" s="1"/>
  <c r="AO147" i="13"/>
  <c r="BB147" i="13"/>
  <c r="AW147" i="13"/>
  <c r="BA147" i="13"/>
  <c r="AP147" i="13"/>
  <c r="DF147" i="13" s="1"/>
  <c r="AS147" i="13"/>
  <c r="AQ147" i="13"/>
  <c r="AY147" i="13"/>
  <c r="AX147" i="13"/>
  <c r="DI147" i="13" s="1"/>
  <c r="AZ147" i="13"/>
  <c r="P73" i="12"/>
  <c r="M73" i="12"/>
  <c r="V73" i="12"/>
  <c r="W73" i="12"/>
  <c r="N73" i="12"/>
  <c r="O73" i="12"/>
  <c r="U73" i="12"/>
  <c r="T73" i="12"/>
  <c r="Z73" i="12"/>
  <c r="S73" i="12"/>
  <c r="R73" i="12"/>
  <c r="Y73" i="12"/>
  <c r="Q73" i="12"/>
  <c r="X73" i="12"/>
  <c r="M66" i="12"/>
  <c r="P66" i="12"/>
  <c r="T66" i="12"/>
  <c r="S66" i="12"/>
  <c r="W66" i="12"/>
  <c r="Y66" i="12"/>
  <c r="Q66" i="12"/>
  <c r="CI66" i="12" s="1"/>
  <c r="Z66" i="12"/>
  <c r="O66" i="12"/>
  <c r="R66" i="12"/>
  <c r="X66" i="12"/>
  <c r="N66" i="12"/>
  <c r="U66" i="12"/>
  <c r="V66" i="12"/>
  <c r="Z112" i="13"/>
  <c r="R112" i="13"/>
  <c r="W112" i="13"/>
  <c r="O112" i="13"/>
  <c r="S112" i="13"/>
  <c r="Q112" i="13"/>
  <c r="V112" i="13"/>
  <c r="M112" i="13"/>
  <c r="U112" i="13"/>
  <c r="Y112" i="13"/>
  <c r="T112" i="13"/>
  <c r="P112" i="13"/>
  <c r="N112" i="13"/>
  <c r="X112" i="13"/>
  <c r="BL95" i="12"/>
  <c r="DM95" i="12" s="1"/>
  <c r="BK95" i="12"/>
  <c r="BJ95" i="12"/>
  <c r="BD95" i="12"/>
  <c r="DJ95" i="12" s="1"/>
  <c r="BC95" i="12"/>
  <c r="BP95" i="12"/>
  <c r="BG95" i="12"/>
  <c r="BI95" i="12"/>
  <c r="DL95" i="12" s="1"/>
  <c r="BO95" i="12"/>
  <c r="BF95" i="12"/>
  <c r="BN95" i="12"/>
  <c r="BE95" i="12"/>
  <c r="BM95" i="12"/>
  <c r="BH95" i="12"/>
  <c r="DK95" i="12" s="1"/>
  <c r="BJ90" i="12"/>
  <c r="BM90" i="12"/>
  <c r="BF90" i="12"/>
  <c r="BN90" i="12"/>
  <c r="BG90" i="12"/>
  <c r="BC90" i="12"/>
  <c r="BO90" i="12"/>
  <c r="BH90" i="12"/>
  <c r="DK90" i="12" s="1"/>
  <c r="BP90" i="12"/>
  <c r="BI90" i="12"/>
  <c r="DL90" i="12" s="1"/>
  <c r="BK90" i="12"/>
  <c r="BD90" i="12"/>
  <c r="DJ90" i="12" s="1"/>
  <c r="BL90" i="12"/>
  <c r="DM90" i="12" s="1"/>
  <c r="BE90" i="12"/>
  <c r="BK85" i="14"/>
  <c r="BO85" i="14"/>
  <c r="BC85" i="14"/>
  <c r="BG85" i="14"/>
  <c r="BE85" i="14"/>
  <c r="BN85" i="14"/>
  <c r="BJ85" i="14"/>
  <c r="BF85" i="14"/>
  <c r="BI85" i="14"/>
  <c r="DL85" i="14" s="1"/>
  <c r="BL85" i="14"/>
  <c r="DM85" i="14" s="1"/>
  <c r="BM85" i="14"/>
  <c r="BD85" i="14"/>
  <c r="DJ85" i="14" s="1"/>
  <c r="BH85" i="14"/>
  <c r="DK85" i="14" s="1"/>
  <c r="BP85" i="14"/>
  <c r="BK60" i="15"/>
  <c r="BC60" i="15"/>
  <c r="BJ60" i="15"/>
  <c r="BE60" i="15"/>
  <c r="BI60" i="15"/>
  <c r="DL60" i="15" s="1"/>
  <c r="BP60" i="15"/>
  <c r="BH60" i="15"/>
  <c r="DK60" i="15" s="1"/>
  <c r="BM60" i="15"/>
  <c r="BO60" i="15"/>
  <c r="BG60" i="15"/>
  <c r="BN60" i="15"/>
  <c r="BF60" i="15"/>
  <c r="BL60" i="15"/>
  <c r="DM60" i="15" s="1"/>
  <c r="BD60" i="15"/>
  <c r="DJ60" i="15" s="1"/>
  <c r="BO157" i="13"/>
  <c r="BH157" i="13"/>
  <c r="DK157" i="13" s="1"/>
  <c r="BE157" i="13"/>
  <c r="BP157" i="13"/>
  <c r="BM157" i="13"/>
  <c r="BI157" i="13"/>
  <c r="DL157" i="13" s="1"/>
  <c r="BF157" i="13"/>
  <c r="BJ157" i="13"/>
  <c r="BN157" i="13"/>
  <c r="BC157" i="13"/>
  <c r="BG157" i="13"/>
  <c r="BD157" i="13"/>
  <c r="DJ157" i="13" s="1"/>
  <c r="BL157" i="13"/>
  <c r="DM157" i="13" s="1"/>
  <c r="BK157" i="13"/>
  <c r="BH66" i="12"/>
  <c r="DK66" i="12" s="1"/>
  <c r="BP66" i="12"/>
  <c r="BI66" i="12"/>
  <c r="DL66" i="12" s="1"/>
  <c r="BM66" i="12"/>
  <c r="BJ66" i="12"/>
  <c r="BF66" i="12"/>
  <c r="BC66" i="12"/>
  <c r="BN66" i="12"/>
  <c r="BK66" i="12"/>
  <c r="BG66" i="12"/>
  <c r="BD66" i="12"/>
  <c r="DJ66" i="12" s="1"/>
  <c r="BO66" i="12"/>
  <c r="BL66" i="12"/>
  <c r="DM66" i="12" s="1"/>
  <c r="BE66" i="12"/>
  <c r="BJ70" i="12"/>
  <c r="BG70" i="12"/>
  <c r="BL70" i="12"/>
  <c r="DM70" i="12" s="1"/>
  <c r="BI70" i="12"/>
  <c r="DL70" i="12" s="1"/>
  <c r="BF70" i="12"/>
  <c r="BH70" i="12"/>
  <c r="DK70" i="12" s="1"/>
  <c r="BD70" i="12"/>
  <c r="DJ70" i="12" s="1"/>
  <c r="BO70" i="12"/>
  <c r="BP70" i="12"/>
  <c r="BC70" i="12"/>
  <c r="BK70" i="12"/>
  <c r="BE70" i="12"/>
  <c r="BM70" i="12"/>
  <c r="BN70" i="12"/>
  <c r="BE41" i="14"/>
  <c r="BN41" i="14"/>
  <c r="BM41" i="14"/>
  <c r="BG41" i="14"/>
  <c r="BF41" i="14"/>
  <c r="BD41" i="14"/>
  <c r="DJ41" i="14" s="1"/>
  <c r="BO41" i="14"/>
  <c r="BI41" i="14"/>
  <c r="DL41" i="14" s="1"/>
  <c r="BL41" i="14"/>
  <c r="DM41" i="14" s="1"/>
  <c r="BC41" i="14"/>
  <c r="BH41" i="14"/>
  <c r="DK41" i="14" s="1"/>
  <c r="BK41" i="14"/>
  <c r="BJ41" i="14"/>
  <c r="BP41" i="14"/>
  <c r="CR41" i="14" s="1"/>
  <c r="CS41" i="14" s="1"/>
  <c r="BG40" i="14"/>
  <c r="BM40" i="14"/>
  <c r="BO40" i="14"/>
  <c r="BJ40" i="14"/>
  <c r="BE40" i="14"/>
  <c r="BI40" i="14"/>
  <c r="DL40" i="14" s="1"/>
  <c r="BK40" i="14"/>
  <c r="BD40" i="14"/>
  <c r="DJ40" i="14" s="1"/>
  <c r="BC40" i="14"/>
  <c r="BL40" i="14"/>
  <c r="DM40" i="14" s="1"/>
  <c r="BF40" i="14"/>
  <c r="BP40" i="14"/>
  <c r="BN40" i="14"/>
  <c r="BH40" i="14"/>
  <c r="DK40" i="14" s="1"/>
  <c r="BP38" i="14"/>
  <c r="BH38" i="14"/>
  <c r="DK38" i="14" s="1"/>
  <c r="BK38" i="14"/>
  <c r="BD38" i="14"/>
  <c r="DJ38" i="14" s="1"/>
  <c r="BJ38" i="14"/>
  <c r="BO38" i="14"/>
  <c r="BG38" i="14"/>
  <c r="BI38" i="14"/>
  <c r="DL38" i="14" s="1"/>
  <c r="BM38" i="14"/>
  <c r="BE38" i="14"/>
  <c r="BL38" i="14"/>
  <c r="DM38" i="14" s="1"/>
  <c r="BF38" i="14"/>
  <c r="BC38" i="14"/>
  <c r="BN38" i="14"/>
  <c r="BN115" i="13"/>
  <c r="BM115" i="13"/>
  <c r="BG115" i="13"/>
  <c r="BC115" i="13"/>
  <c r="BD115" i="13"/>
  <c r="DJ115" i="13" s="1"/>
  <c r="BO115" i="13"/>
  <c r="BH115" i="13"/>
  <c r="DK115" i="13" s="1"/>
  <c r="BK115" i="13"/>
  <c r="BL115" i="13"/>
  <c r="DM115" i="13" s="1"/>
  <c r="BP115" i="13"/>
  <c r="BI115" i="13"/>
  <c r="DL115" i="13" s="1"/>
  <c r="BE115" i="13"/>
  <c r="BF115" i="13"/>
  <c r="BJ115" i="13"/>
  <c r="CD99" i="12"/>
  <c r="BT99" i="12"/>
  <c r="BW99" i="12"/>
  <c r="DP99" i="12" s="1"/>
  <c r="BX99" i="12"/>
  <c r="CB99" i="12"/>
  <c r="BY99" i="12"/>
  <c r="BS99" i="12"/>
  <c r="CA99" i="12"/>
  <c r="BV99" i="12"/>
  <c r="DO99" i="12" s="1"/>
  <c r="BR99" i="12"/>
  <c r="DN99" i="12" s="1"/>
  <c r="BZ99" i="12"/>
  <c r="DQ99" i="12" s="1"/>
  <c r="BU99" i="12"/>
  <c r="BQ99" i="12"/>
  <c r="CC99" i="12"/>
  <c r="CB98" i="12"/>
  <c r="BX98" i="12"/>
  <c r="BV98" i="12"/>
  <c r="DO98" i="12" s="1"/>
  <c r="BW98" i="12"/>
  <c r="DP98" i="12" s="1"/>
  <c r="BQ98" i="12"/>
  <c r="BZ98" i="12"/>
  <c r="DQ98" i="12" s="1"/>
  <c r="CD98" i="12"/>
  <c r="BY98" i="12"/>
  <c r="BT98" i="12"/>
  <c r="BS98" i="12"/>
  <c r="CA98" i="12"/>
  <c r="BU98" i="12"/>
  <c r="CC98" i="12"/>
  <c r="BR98" i="12"/>
  <c r="DN98" i="12" s="1"/>
  <c r="BR149" i="13"/>
  <c r="DN149" i="13" s="1"/>
  <c r="BX149" i="13"/>
  <c r="BZ149" i="13"/>
  <c r="DQ149" i="13" s="1"/>
  <c r="CD149" i="13"/>
  <c r="BS149" i="13"/>
  <c r="BQ149" i="13"/>
  <c r="CA149" i="13"/>
  <c r="BV149" i="13"/>
  <c r="DO149" i="13" s="1"/>
  <c r="BT149" i="13"/>
  <c r="BW149" i="13"/>
  <c r="DP149" i="13" s="1"/>
  <c r="CB149" i="13"/>
  <c r="BY149" i="13"/>
  <c r="CC149" i="13"/>
  <c r="BU149" i="13"/>
  <c r="BQ148" i="13"/>
  <c r="CA148" i="13"/>
  <c r="BY148" i="13"/>
  <c r="CB148" i="13"/>
  <c r="BR148" i="13"/>
  <c r="DN148" i="13" s="1"/>
  <c r="BZ148" i="13"/>
  <c r="DQ148" i="13" s="1"/>
  <c r="BV148" i="13"/>
  <c r="DO148" i="13" s="1"/>
  <c r="BS148" i="13"/>
  <c r="CD148" i="13"/>
  <c r="BU148" i="13"/>
  <c r="BX148" i="13"/>
  <c r="BT148" i="13"/>
  <c r="BW148" i="13"/>
  <c r="DP148" i="13" s="1"/>
  <c r="CC148" i="13"/>
  <c r="BQ151" i="13"/>
  <c r="CB151" i="13"/>
  <c r="BY151" i="13"/>
  <c r="BT151" i="13"/>
  <c r="BW151" i="13"/>
  <c r="DP151" i="13" s="1"/>
  <c r="CC151" i="13"/>
  <c r="BX151" i="13"/>
  <c r="BU151" i="13"/>
  <c r="BZ151" i="13"/>
  <c r="DQ151" i="13" s="1"/>
  <c r="CD151" i="13"/>
  <c r="BR151" i="13"/>
  <c r="DN151" i="13" s="1"/>
  <c r="BV151" i="13"/>
  <c r="DO151" i="13" s="1"/>
  <c r="BS151" i="13"/>
  <c r="CA151" i="13"/>
  <c r="BX146" i="13"/>
  <c r="BW146" i="13"/>
  <c r="DP146" i="13" s="1"/>
  <c r="BS146" i="13"/>
  <c r="BY146" i="13"/>
  <c r="CB146" i="13"/>
  <c r="BR146" i="13"/>
  <c r="DN146" i="13" s="1"/>
  <c r="BT146" i="13"/>
  <c r="CA146" i="13"/>
  <c r="CC146" i="13"/>
  <c r="BQ146" i="13"/>
  <c r="BU146" i="13"/>
  <c r="BZ146" i="13"/>
  <c r="DQ146" i="13" s="1"/>
  <c r="BV146" i="13"/>
  <c r="DO146" i="13" s="1"/>
  <c r="CD146" i="13"/>
  <c r="AG73" i="12"/>
  <c r="DD73" i="12" s="1"/>
  <c r="AJ73" i="12"/>
  <c r="DE73" i="12" s="1"/>
  <c r="AC73" i="12"/>
  <c r="AL73" i="12"/>
  <c r="AM73" i="12"/>
  <c r="AB73" i="12"/>
  <c r="DB73" i="12" s="1"/>
  <c r="AK73" i="12"/>
  <c r="AF73" i="12"/>
  <c r="DC73" i="12" s="1"/>
  <c r="AE73" i="12"/>
  <c r="AN73" i="12"/>
  <c r="AD73" i="12"/>
  <c r="AA73" i="12"/>
  <c r="AI73" i="12"/>
  <c r="AH73" i="12"/>
  <c r="AG36" i="14"/>
  <c r="DD36" i="14" s="1"/>
  <c r="AB36" i="14"/>
  <c r="DB36" i="14" s="1"/>
  <c r="AM36" i="14"/>
  <c r="AJ36" i="14"/>
  <c r="DE36" i="14" s="1"/>
  <c r="AD36" i="14"/>
  <c r="AL36" i="14"/>
  <c r="AF36" i="14"/>
  <c r="DC36" i="14" s="1"/>
  <c r="AH36" i="14"/>
  <c r="AI36" i="14"/>
  <c r="AC36" i="14"/>
  <c r="AE36" i="14"/>
  <c r="AK36" i="14"/>
  <c r="AA36" i="14"/>
  <c r="AN36" i="14"/>
  <c r="AG112" i="13"/>
  <c r="DD112" i="13" s="1"/>
  <c r="AC112" i="13"/>
  <c r="AH112" i="13"/>
  <c r="AD112" i="13"/>
  <c r="AI112" i="13"/>
  <c r="AL112" i="13"/>
  <c r="AA112" i="13"/>
  <c r="AN112" i="13"/>
  <c r="AB112" i="13"/>
  <c r="DB112" i="13" s="1"/>
  <c r="AE112" i="13"/>
  <c r="AK112" i="13"/>
  <c r="AJ112" i="13"/>
  <c r="DE112" i="13" s="1"/>
  <c r="AF112" i="13"/>
  <c r="DC112" i="13" s="1"/>
  <c r="AM112" i="13"/>
  <c r="AB114" i="13"/>
  <c r="DB114" i="13" s="1"/>
  <c r="AJ114" i="13"/>
  <c r="DE114" i="13" s="1"/>
  <c r="AF114" i="13"/>
  <c r="DC114" i="13" s="1"/>
  <c r="AE114" i="13"/>
  <c r="AN114" i="13"/>
  <c r="AM114" i="13"/>
  <c r="AH114" i="13"/>
  <c r="AD114" i="13"/>
  <c r="AA114" i="13"/>
  <c r="AK114" i="13"/>
  <c r="AG114" i="13"/>
  <c r="DD114" i="13" s="1"/>
  <c r="AI114" i="13"/>
  <c r="AC114" i="13"/>
  <c r="AL114" i="13"/>
  <c r="AP72" i="12"/>
  <c r="DF72" i="12" s="1"/>
  <c r="BB72" i="12"/>
  <c r="AV72" i="12"/>
  <c r="BA72" i="12"/>
  <c r="AO72" i="12"/>
  <c r="AX72" i="12"/>
  <c r="DI72" i="12" s="1"/>
  <c r="AS72" i="12"/>
  <c r="AU72" i="12"/>
  <c r="DH72" i="12" s="1"/>
  <c r="AT72" i="12"/>
  <c r="DG72" i="12" s="1"/>
  <c r="AW72" i="12"/>
  <c r="AZ72" i="12"/>
  <c r="AY72" i="12"/>
  <c r="AR72" i="12"/>
  <c r="AQ72" i="12"/>
  <c r="AV64" i="12"/>
  <c r="AW64" i="12"/>
  <c r="AS64" i="12"/>
  <c r="AU64" i="12"/>
  <c r="DH64" i="12" s="1"/>
  <c r="AO64" i="12"/>
  <c r="AZ64" i="12"/>
  <c r="BB64" i="12"/>
  <c r="AY64" i="12"/>
  <c r="AT64" i="12"/>
  <c r="DG64" i="12" s="1"/>
  <c r="AQ64" i="12"/>
  <c r="AX64" i="12"/>
  <c r="DI64" i="12" s="1"/>
  <c r="AR64" i="12"/>
  <c r="AP64" i="12"/>
  <c r="DF64" i="12" s="1"/>
  <c r="BA64" i="12"/>
  <c r="AQ106" i="13"/>
  <c r="AU106" i="13"/>
  <c r="DH106" i="13" s="1"/>
  <c r="AY106" i="13"/>
  <c r="AO106" i="13"/>
  <c r="AR106" i="13"/>
  <c r="AW106" i="13"/>
  <c r="AZ106" i="13"/>
  <c r="AS106" i="13"/>
  <c r="AP106" i="13"/>
  <c r="DF106" i="13" s="1"/>
  <c r="AT106" i="13"/>
  <c r="DG106" i="13" s="1"/>
  <c r="BA106" i="13"/>
  <c r="BB106" i="13"/>
  <c r="AV106" i="13"/>
  <c r="AX106" i="13"/>
  <c r="DI106" i="13" s="1"/>
  <c r="AR36" i="14"/>
  <c r="AS36" i="14"/>
  <c r="AV36" i="14"/>
  <c r="AP36" i="14"/>
  <c r="DF36" i="14" s="1"/>
  <c r="AW36" i="14"/>
  <c r="AO36" i="14"/>
  <c r="BA36" i="14"/>
  <c r="AX36" i="14"/>
  <c r="DI36" i="14" s="1"/>
  <c r="AY36" i="14"/>
  <c r="AQ36" i="14"/>
  <c r="AZ36" i="14"/>
  <c r="AU36" i="14"/>
  <c r="DH36" i="14" s="1"/>
  <c r="AT36" i="14"/>
  <c r="DG36" i="14" s="1"/>
  <c r="BB36" i="14"/>
  <c r="AY108" i="13"/>
  <c r="AU108" i="13"/>
  <c r="DH108" i="13" s="1"/>
  <c r="AP108" i="13"/>
  <c r="DF108" i="13" s="1"/>
  <c r="AV108" i="13"/>
  <c r="AX108" i="13"/>
  <c r="DI108" i="13" s="1"/>
  <c r="AZ108" i="13"/>
  <c r="AW108" i="13"/>
  <c r="AR108" i="13"/>
  <c r="AS108" i="13"/>
  <c r="AO108" i="13"/>
  <c r="BB108" i="13"/>
  <c r="AQ108" i="13"/>
  <c r="BA108" i="13"/>
  <c r="AT108" i="13"/>
  <c r="DG108" i="13" s="1"/>
  <c r="AU37" i="14"/>
  <c r="DH37" i="14" s="1"/>
  <c r="AO37" i="14"/>
  <c r="AP37" i="14"/>
  <c r="DF37" i="14" s="1"/>
  <c r="BA37" i="14"/>
  <c r="AT37" i="14"/>
  <c r="DG37" i="14" s="1"/>
  <c r="AW37" i="14"/>
  <c r="AX37" i="14"/>
  <c r="DI37" i="14" s="1"/>
  <c r="BB37" i="14"/>
  <c r="AV37" i="14"/>
  <c r="AQ37" i="14"/>
  <c r="AS37" i="14"/>
  <c r="AY37" i="14"/>
  <c r="AR37" i="14"/>
  <c r="AZ37" i="14"/>
  <c r="AY99" i="12"/>
  <c r="AQ99" i="12"/>
  <c r="AX99" i="12"/>
  <c r="DI99" i="12" s="1"/>
  <c r="AO99" i="12"/>
  <c r="AR99" i="12"/>
  <c r="AS99" i="12"/>
  <c r="AT99" i="12"/>
  <c r="DG99" i="12" s="1"/>
  <c r="AZ99" i="12"/>
  <c r="BA99" i="12"/>
  <c r="BB99" i="12"/>
  <c r="AP99" i="12"/>
  <c r="DF99" i="12" s="1"/>
  <c r="AU99" i="12"/>
  <c r="DH99" i="12" s="1"/>
  <c r="AV99" i="12"/>
  <c r="AW99" i="12"/>
  <c r="AY89" i="12"/>
  <c r="AQ89" i="12"/>
  <c r="AU89" i="12"/>
  <c r="DH89" i="12" s="1"/>
  <c r="AW89" i="12"/>
  <c r="AX89" i="12"/>
  <c r="DI89" i="12" s="1"/>
  <c r="AT89" i="12"/>
  <c r="DG89" i="12" s="1"/>
  <c r="BB89" i="12"/>
  <c r="AV89" i="12"/>
  <c r="AS89" i="12"/>
  <c r="AR89" i="12"/>
  <c r="BA89" i="12"/>
  <c r="AO89" i="12"/>
  <c r="AP89" i="12"/>
  <c r="DF89" i="12" s="1"/>
  <c r="AZ89" i="12"/>
  <c r="BA148" i="13"/>
  <c r="AP148" i="13"/>
  <c r="DF148" i="13" s="1"/>
  <c r="AT148" i="13"/>
  <c r="DG148" i="13" s="1"/>
  <c r="AX148" i="13"/>
  <c r="DI148" i="13" s="1"/>
  <c r="BB148" i="13"/>
  <c r="AQ148" i="13"/>
  <c r="AU148" i="13"/>
  <c r="DH148" i="13" s="1"/>
  <c r="AY148" i="13"/>
  <c r="AO148" i="13"/>
  <c r="AR148" i="13"/>
  <c r="AW148" i="13"/>
  <c r="AS148" i="13"/>
  <c r="AV148" i="13"/>
  <c r="AZ148" i="13"/>
  <c r="AW151" i="13"/>
  <c r="AO151" i="13"/>
  <c r="AS151" i="13"/>
  <c r="AQ151" i="13"/>
  <c r="BB151" i="13"/>
  <c r="BA151" i="13"/>
  <c r="AT151" i="13"/>
  <c r="DG151" i="13" s="1"/>
  <c r="AV151" i="13"/>
  <c r="AU151" i="13"/>
  <c r="DH151" i="13" s="1"/>
  <c r="AX151" i="13"/>
  <c r="DI151" i="13" s="1"/>
  <c r="AY151" i="13"/>
  <c r="AZ151" i="13"/>
  <c r="AP151" i="13"/>
  <c r="DF151" i="13" s="1"/>
  <c r="AR151" i="13"/>
  <c r="BB146" i="13"/>
  <c r="AX146" i="13"/>
  <c r="DI146" i="13" s="1"/>
  <c r="AT146" i="13"/>
  <c r="DG146" i="13" s="1"/>
  <c r="AU146" i="13"/>
  <c r="DH146" i="13" s="1"/>
  <c r="AR146" i="13"/>
  <c r="AV146" i="13"/>
  <c r="AZ146" i="13"/>
  <c r="AW146" i="13"/>
  <c r="AQ146" i="13"/>
  <c r="AP146" i="13"/>
  <c r="DF146" i="13" s="1"/>
  <c r="BA146" i="13"/>
  <c r="AS146" i="13"/>
  <c r="AY146" i="13"/>
  <c r="AO146" i="13"/>
  <c r="R68" i="12"/>
  <c r="S68" i="12"/>
  <c r="M68" i="12"/>
  <c r="CE68" i="12" s="1"/>
  <c r="Q68" i="12"/>
  <c r="CI68" i="12" s="1"/>
  <c r="X68" i="12"/>
  <c r="CP68" i="12" s="1"/>
  <c r="Z68" i="12"/>
  <c r="CR68" i="12" s="1"/>
  <c r="CS68" i="12" s="1"/>
  <c r="V68" i="12"/>
  <c r="Y68" i="12"/>
  <c r="CQ68" i="12" s="1"/>
  <c r="N68" i="12"/>
  <c r="W68" i="12"/>
  <c r="CO68" i="12" s="1"/>
  <c r="O68" i="12"/>
  <c r="CG68" i="12" s="1"/>
  <c r="P68" i="12"/>
  <c r="CH68" i="12" s="1"/>
  <c r="U68" i="12"/>
  <c r="T68" i="12"/>
  <c r="T69" i="12"/>
  <c r="W69" i="12"/>
  <c r="O69" i="12"/>
  <c r="S69" i="12"/>
  <c r="V69" i="12"/>
  <c r="U69" i="12"/>
  <c r="N69" i="12"/>
  <c r="M69" i="12"/>
  <c r="Y69" i="12"/>
  <c r="Q69" i="12"/>
  <c r="Z69" i="12"/>
  <c r="R69" i="12"/>
  <c r="X69" i="12"/>
  <c r="P69" i="12"/>
  <c r="Q38" i="14"/>
  <c r="X38" i="14"/>
  <c r="Z38" i="14"/>
  <c r="S38" i="14"/>
  <c r="U38" i="14"/>
  <c r="CM38" i="14" s="1"/>
  <c r="R38" i="14"/>
  <c r="N38" i="14"/>
  <c r="T38" i="14"/>
  <c r="V38" i="14"/>
  <c r="O38" i="14"/>
  <c r="P38" i="14"/>
  <c r="M38" i="14"/>
  <c r="Y38" i="14"/>
  <c r="W38" i="14"/>
  <c r="Q103" i="13"/>
  <c r="CI103" i="13" s="1"/>
  <c r="W103" i="13"/>
  <c r="Y103" i="13"/>
  <c r="R103" i="13"/>
  <c r="N103" i="13"/>
  <c r="Z103" i="13"/>
  <c r="CR103" i="13" s="1"/>
  <c r="J103" i="13" s="1"/>
  <c r="V103" i="13"/>
  <c r="S103" i="13"/>
  <c r="P103" i="13"/>
  <c r="M103" i="13"/>
  <c r="O103" i="13"/>
  <c r="X103" i="13"/>
  <c r="T103" i="13"/>
  <c r="U103" i="13"/>
  <c r="CM103" i="13" s="1"/>
  <c r="BK88" i="12"/>
  <c r="BI88" i="12"/>
  <c r="DL88" i="12" s="1"/>
  <c r="BJ88" i="12"/>
  <c r="BD88" i="12"/>
  <c r="DJ88" i="12" s="1"/>
  <c r="BF88" i="12"/>
  <c r="BL88" i="12"/>
  <c r="DM88" i="12" s="1"/>
  <c r="BN88" i="12"/>
  <c r="BG88" i="12"/>
  <c r="BO88" i="12"/>
  <c r="BE88" i="12"/>
  <c r="BH88" i="12"/>
  <c r="DK88" i="12" s="1"/>
  <c r="BM88" i="12"/>
  <c r="BP88" i="12"/>
  <c r="BC88" i="12"/>
  <c r="BE82" i="14"/>
  <c r="BI82" i="14"/>
  <c r="DL82" i="14" s="1"/>
  <c r="BO82" i="14"/>
  <c r="BP82" i="14"/>
  <c r="BG82" i="14"/>
  <c r="BH82" i="14"/>
  <c r="DK82" i="14" s="1"/>
  <c r="BL82" i="14"/>
  <c r="DM82" i="14" s="1"/>
  <c r="BN82" i="14"/>
  <c r="BD82" i="14"/>
  <c r="DJ82" i="14" s="1"/>
  <c r="BF82" i="14"/>
  <c r="BK82" i="14"/>
  <c r="BM82" i="14"/>
  <c r="BJ82" i="14"/>
  <c r="BC82" i="14"/>
  <c r="BJ69" i="12"/>
  <c r="BI69" i="12"/>
  <c r="DL69" i="12" s="1"/>
  <c r="BO69" i="12"/>
  <c r="BE69" i="12"/>
  <c r="BM69" i="12"/>
  <c r="BH69" i="12"/>
  <c r="DK69" i="12" s="1"/>
  <c r="BC69" i="12"/>
  <c r="BD69" i="12"/>
  <c r="DJ69" i="12" s="1"/>
  <c r="BG69" i="12"/>
  <c r="BL69" i="12"/>
  <c r="DM69" i="12" s="1"/>
  <c r="BK69" i="12"/>
  <c r="BN69" i="12"/>
  <c r="BF69" i="12"/>
  <c r="BP69" i="12"/>
  <c r="BO114" i="13"/>
  <c r="BD114" i="13"/>
  <c r="DJ114" i="13" s="1"/>
  <c r="BH114" i="13"/>
  <c r="DK114" i="13" s="1"/>
  <c r="BL114" i="13"/>
  <c r="DM114" i="13" s="1"/>
  <c r="BP114" i="13"/>
  <c r="BE114" i="13"/>
  <c r="BC114" i="13"/>
  <c r="BM114" i="13"/>
  <c r="BK114" i="13"/>
  <c r="BF114" i="13"/>
  <c r="BI114" i="13"/>
  <c r="DL114" i="13" s="1"/>
  <c r="BJ114" i="13"/>
  <c r="BN114" i="13"/>
  <c r="BG114" i="13"/>
  <c r="BD36" i="14"/>
  <c r="DJ36" i="14" s="1"/>
  <c r="BL36" i="14"/>
  <c r="DM36" i="14" s="1"/>
  <c r="BE36" i="14"/>
  <c r="BK36" i="14"/>
  <c r="BM36" i="14"/>
  <c r="BG36" i="14"/>
  <c r="BF36" i="14"/>
  <c r="BO36" i="14"/>
  <c r="BJ36" i="14"/>
  <c r="BI36" i="14"/>
  <c r="DL36" i="14" s="1"/>
  <c r="BC36" i="14"/>
  <c r="BP36" i="14"/>
  <c r="BH36" i="14"/>
  <c r="DK36" i="14" s="1"/>
  <c r="BN36" i="14"/>
  <c r="BP39" i="14"/>
  <c r="BG39" i="14"/>
  <c r="BH39" i="14"/>
  <c r="DK39" i="14" s="1"/>
  <c r="BO39" i="14"/>
  <c r="BJ39" i="14"/>
  <c r="BI39" i="14"/>
  <c r="DL39" i="14" s="1"/>
  <c r="BC39" i="14"/>
  <c r="BD39" i="14"/>
  <c r="DJ39" i="14" s="1"/>
  <c r="BM39" i="14"/>
  <c r="BE39" i="14"/>
  <c r="BK39" i="14"/>
  <c r="BN39" i="14"/>
  <c r="BF39" i="14"/>
  <c r="CH39" i="14" s="1"/>
  <c r="BL39" i="14"/>
  <c r="DM39" i="14" s="1"/>
  <c r="BJ42" i="14"/>
  <c r="BN42" i="14"/>
  <c r="BI42" i="14"/>
  <c r="DL42" i="14" s="1"/>
  <c r="BF42" i="14"/>
  <c r="BP42" i="14"/>
  <c r="BE42" i="14"/>
  <c r="CG42" i="14" s="1"/>
  <c r="BH42" i="14"/>
  <c r="DK42" i="14" s="1"/>
  <c r="BK42" i="14"/>
  <c r="BO42" i="14"/>
  <c r="BD42" i="14"/>
  <c r="DJ42" i="14" s="1"/>
  <c r="BL42" i="14"/>
  <c r="DM42" i="14" s="1"/>
  <c r="BG42" i="14"/>
  <c r="BC42" i="14"/>
  <c r="BM42" i="14"/>
  <c r="BM17" i="15"/>
  <c r="BL17" i="15"/>
  <c r="DM17" i="15" s="1"/>
  <c r="BE17" i="15"/>
  <c r="BF17" i="15"/>
  <c r="BH17" i="15"/>
  <c r="DK17" i="15" s="1"/>
  <c r="BD17" i="15"/>
  <c r="DJ17" i="15" s="1"/>
  <c r="BC17" i="15"/>
  <c r="BG17" i="15"/>
  <c r="BP17" i="15"/>
  <c r="BK17" i="15"/>
  <c r="BO17" i="15"/>
  <c r="BI17" i="15"/>
  <c r="DL17" i="15" s="1"/>
  <c r="BJ17" i="15"/>
  <c r="BN17" i="15"/>
  <c r="G300" i="8"/>
  <c r="D57" i="8"/>
  <c r="E57" i="8"/>
  <c r="I279" i="8"/>
  <c r="J279" i="8" s="1"/>
  <c r="F299" i="8"/>
  <c r="Q302" i="8"/>
  <c r="Q297" i="8"/>
  <c r="Q296" i="8"/>
  <c r="I273" i="8"/>
  <c r="J273" i="8" s="1"/>
  <c r="G296" i="8"/>
  <c r="G298" i="8"/>
  <c r="F303" i="8"/>
  <c r="S274" i="8"/>
  <c r="T274" i="8" s="1"/>
  <c r="O296" i="8"/>
  <c r="I277" i="8"/>
  <c r="J277" i="8" s="1"/>
  <c r="I269" i="8"/>
  <c r="J269" i="8" s="1"/>
  <c r="S270" i="8"/>
  <c r="T270" i="8" s="1"/>
  <c r="Q300" i="8"/>
  <c r="S268" i="8"/>
  <c r="T268" i="8" s="1"/>
  <c r="S283" i="8"/>
  <c r="T283" i="8" s="1"/>
  <c r="S275" i="8"/>
  <c r="T275" i="8" s="1"/>
  <c r="Q304" i="8"/>
  <c r="E306" i="8"/>
  <c r="Q305" i="8"/>
  <c r="AY47" i="8"/>
  <c r="AQ47" i="8"/>
  <c r="AX47" i="8"/>
  <c r="DI47" i="8" s="1"/>
  <c r="AP47" i="8"/>
  <c r="DF47" i="8" s="1"/>
  <c r="AW47" i="8"/>
  <c r="AO47" i="8"/>
  <c r="AV47" i="8"/>
  <c r="AU47" i="8"/>
  <c r="DH47" i="8" s="1"/>
  <c r="AT47" i="8"/>
  <c r="DG47" i="8" s="1"/>
  <c r="BA47" i="8"/>
  <c r="AS47" i="8"/>
  <c r="AZ47" i="8"/>
  <c r="AR47" i="8"/>
  <c r="BB47" i="8"/>
  <c r="AM98" i="8"/>
  <c r="AE98" i="8"/>
  <c r="AL98" i="8"/>
  <c r="AD98" i="8"/>
  <c r="AK98" i="8"/>
  <c r="AC98" i="8"/>
  <c r="AJ98" i="8"/>
  <c r="DE98" i="8" s="1"/>
  <c r="AB98" i="8"/>
  <c r="DB98" i="8" s="1"/>
  <c r="AI98" i="8"/>
  <c r="AA98" i="8"/>
  <c r="AH98" i="8"/>
  <c r="AG98" i="8"/>
  <c r="DD98" i="8" s="1"/>
  <c r="AN98" i="8"/>
  <c r="AF98" i="8"/>
  <c r="DC98" i="8" s="1"/>
  <c r="Q303" i="8"/>
  <c r="BK53" i="8"/>
  <c r="BC53" i="8"/>
  <c r="BJ53" i="8"/>
  <c r="BI53" i="8"/>
  <c r="DL53" i="8" s="1"/>
  <c r="BH53" i="8"/>
  <c r="DK53" i="8" s="1"/>
  <c r="BO53" i="8"/>
  <c r="BG53" i="8"/>
  <c r="BN53" i="8"/>
  <c r="BF53" i="8"/>
  <c r="BM53" i="8"/>
  <c r="BE53" i="8"/>
  <c r="BL53" i="8"/>
  <c r="DM53" i="8" s="1"/>
  <c r="BD53" i="8"/>
  <c r="DJ53" i="8" s="1"/>
  <c r="BP53" i="8"/>
  <c r="AG50" i="8"/>
  <c r="DD50" i="8" s="1"/>
  <c r="AF50" i="8"/>
  <c r="DC50" i="8" s="1"/>
  <c r="AM50" i="8"/>
  <c r="AE50" i="8"/>
  <c r="AL50" i="8"/>
  <c r="AD50" i="8"/>
  <c r="AK50" i="8"/>
  <c r="AC50" i="8"/>
  <c r="AJ50" i="8"/>
  <c r="DE50" i="8" s="1"/>
  <c r="AB50" i="8"/>
  <c r="DB50" i="8" s="1"/>
  <c r="AI50" i="8"/>
  <c r="AH50" i="8"/>
  <c r="AA50" i="8"/>
  <c r="AN50" i="8"/>
  <c r="AK46" i="8"/>
  <c r="AC46" i="8"/>
  <c r="AJ46" i="8"/>
  <c r="DE46" i="8" s="1"/>
  <c r="AB46" i="8"/>
  <c r="DB46" i="8" s="1"/>
  <c r="AI46" i="8"/>
  <c r="AA46" i="8"/>
  <c r="AH46" i="8"/>
  <c r="AG46" i="8"/>
  <c r="DD46" i="8" s="1"/>
  <c r="AF46" i="8"/>
  <c r="DC46" i="8" s="1"/>
  <c r="AM46" i="8"/>
  <c r="AL46" i="8"/>
  <c r="AE46" i="8"/>
  <c r="AD46" i="8"/>
  <c r="AN46" i="8"/>
  <c r="AI104" i="8"/>
  <c r="AA104" i="8"/>
  <c r="AH104" i="8"/>
  <c r="AG104" i="8"/>
  <c r="DD104" i="8" s="1"/>
  <c r="AN104" i="8"/>
  <c r="AF104" i="8"/>
  <c r="DC104" i="8" s="1"/>
  <c r="AM104" i="8"/>
  <c r="AE104" i="8"/>
  <c r="AL104" i="8"/>
  <c r="AD104" i="8"/>
  <c r="AK104" i="8"/>
  <c r="AC104" i="8"/>
  <c r="AB104" i="8"/>
  <c r="DB104" i="8" s="1"/>
  <c r="AJ104" i="8"/>
  <c r="DE104" i="8" s="1"/>
  <c r="CA47" i="8"/>
  <c r="BS47" i="8"/>
  <c r="BZ47" i="8"/>
  <c r="DQ47" i="8" s="1"/>
  <c r="BR47" i="8"/>
  <c r="DN47" i="8" s="1"/>
  <c r="BY47" i="8"/>
  <c r="BQ47" i="8"/>
  <c r="BX47" i="8"/>
  <c r="BW47" i="8"/>
  <c r="DP47" i="8" s="1"/>
  <c r="BV47" i="8"/>
  <c r="DO47" i="8" s="1"/>
  <c r="CC47" i="8"/>
  <c r="BU47" i="8"/>
  <c r="CB47" i="8"/>
  <c r="BT47" i="8"/>
  <c r="CD47" i="8"/>
  <c r="AY97" i="8"/>
  <c r="AQ97" i="8"/>
  <c r="AX97" i="8"/>
  <c r="DI97" i="8" s="1"/>
  <c r="AP97" i="8"/>
  <c r="DF97" i="8" s="1"/>
  <c r="AW97" i="8"/>
  <c r="AO97" i="8"/>
  <c r="AV97" i="8"/>
  <c r="AU97" i="8"/>
  <c r="DH97" i="8" s="1"/>
  <c r="BB97" i="8"/>
  <c r="AT97" i="8"/>
  <c r="DG97" i="8" s="1"/>
  <c r="BA97" i="8"/>
  <c r="AS97" i="8"/>
  <c r="AZ97" i="8"/>
  <c r="AR97" i="8"/>
  <c r="BA102" i="8"/>
  <c r="AS102" i="8"/>
  <c r="AZ102" i="8"/>
  <c r="AR102" i="8"/>
  <c r="AY102" i="8"/>
  <c r="AQ102" i="8"/>
  <c r="AX102" i="8"/>
  <c r="DI102" i="8" s="1"/>
  <c r="AP102" i="8"/>
  <c r="DF102" i="8" s="1"/>
  <c r="AW102" i="8"/>
  <c r="AO102" i="8"/>
  <c r="AV102" i="8"/>
  <c r="AU102" i="8"/>
  <c r="DH102" i="8" s="1"/>
  <c r="BB102" i="8"/>
  <c r="AT102" i="8"/>
  <c r="DG102" i="8" s="1"/>
  <c r="W105" i="8"/>
  <c r="O105" i="8"/>
  <c r="V105" i="8"/>
  <c r="DA105" i="8" s="1"/>
  <c r="N105" i="8"/>
  <c r="CX105" i="8" s="1"/>
  <c r="U105" i="8"/>
  <c r="M105" i="8"/>
  <c r="T105" i="8"/>
  <c r="S105" i="8"/>
  <c r="CZ105" i="8" s="1"/>
  <c r="Z105" i="8"/>
  <c r="R105" i="8"/>
  <c r="CY105" i="8" s="1"/>
  <c r="Y105" i="8"/>
  <c r="Q105" i="8"/>
  <c r="P105" i="8"/>
  <c r="X105" i="8"/>
  <c r="Y56" i="8"/>
  <c r="Q56" i="8"/>
  <c r="X56" i="8"/>
  <c r="P56" i="8"/>
  <c r="W56" i="8"/>
  <c r="O56" i="8"/>
  <c r="V56" i="8"/>
  <c r="DA56" i="8" s="1"/>
  <c r="N56" i="8"/>
  <c r="CX56" i="8" s="1"/>
  <c r="U56" i="8"/>
  <c r="M56" i="8"/>
  <c r="T56" i="8"/>
  <c r="R56" i="8"/>
  <c r="S56" i="8"/>
  <c r="Z56" i="8"/>
  <c r="BY106" i="8"/>
  <c r="BQ106" i="8"/>
  <c r="BX106" i="8"/>
  <c r="BW106" i="8"/>
  <c r="DP106" i="8" s="1"/>
  <c r="CD106" i="8"/>
  <c r="BV106" i="8"/>
  <c r="DO106" i="8" s="1"/>
  <c r="CC106" i="8"/>
  <c r="BU106" i="8"/>
  <c r="CB106" i="8"/>
  <c r="BT106" i="8"/>
  <c r="CA106" i="8"/>
  <c r="BS106" i="8"/>
  <c r="BZ106" i="8"/>
  <c r="DQ106" i="8" s="1"/>
  <c r="BR106" i="8"/>
  <c r="DN106" i="8" s="1"/>
  <c r="BM99" i="8"/>
  <c r="BE99" i="8"/>
  <c r="BL99" i="8"/>
  <c r="DM99" i="8" s="1"/>
  <c r="BD99" i="8"/>
  <c r="DJ99" i="8" s="1"/>
  <c r="BK99" i="8"/>
  <c r="BC99" i="8"/>
  <c r="BJ99" i="8"/>
  <c r="BI99" i="8"/>
  <c r="DL99" i="8" s="1"/>
  <c r="BP99" i="8"/>
  <c r="BH99" i="8"/>
  <c r="DK99" i="8" s="1"/>
  <c r="BO99" i="8"/>
  <c r="BG99" i="8"/>
  <c r="BN99" i="8"/>
  <c r="BF99" i="8"/>
  <c r="AH45" i="8"/>
  <c r="AG45" i="8"/>
  <c r="DD45" i="8" s="1"/>
  <c r="AF45" i="8"/>
  <c r="DC45" i="8" s="1"/>
  <c r="AM45" i="8"/>
  <c r="AE45" i="8"/>
  <c r="AL45" i="8"/>
  <c r="AD45" i="8"/>
  <c r="AK45" i="8"/>
  <c r="AC45" i="8"/>
  <c r="AJ45" i="8"/>
  <c r="DE45" i="8" s="1"/>
  <c r="AI45" i="8"/>
  <c r="AB45" i="8"/>
  <c r="DB45" i="8" s="1"/>
  <c r="AA45" i="8"/>
  <c r="AN45" i="8"/>
  <c r="BW101" i="8"/>
  <c r="DP101" i="8" s="1"/>
  <c r="CD101" i="8"/>
  <c r="BV101" i="8"/>
  <c r="DO101" i="8" s="1"/>
  <c r="CC101" i="8"/>
  <c r="BU101" i="8"/>
  <c r="CB101" i="8"/>
  <c r="BT101" i="8"/>
  <c r="CA101" i="8"/>
  <c r="BS101" i="8"/>
  <c r="BZ101" i="8"/>
  <c r="DQ101" i="8" s="1"/>
  <c r="BR101" i="8"/>
  <c r="DN101" i="8" s="1"/>
  <c r="BY101" i="8"/>
  <c r="BQ101" i="8"/>
  <c r="BX101" i="8"/>
  <c r="X48" i="8"/>
  <c r="P48" i="8"/>
  <c r="W48" i="8"/>
  <c r="O48" i="8"/>
  <c r="N48" i="8"/>
  <c r="CX48" i="8" s="1"/>
  <c r="V48" i="8"/>
  <c r="DA48" i="8" s="1"/>
  <c r="U48" i="8"/>
  <c r="M48" i="8"/>
  <c r="S48" i="8"/>
  <c r="CZ48" i="8" s="1"/>
  <c r="Q48" i="8"/>
  <c r="T48" i="8"/>
  <c r="R48" i="8"/>
  <c r="CY48" i="8" s="1"/>
  <c r="Y48" i="8"/>
  <c r="Z48" i="8"/>
  <c r="AV106" i="8"/>
  <c r="AU106" i="8"/>
  <c r="DH106" i="8" s="1"/>
  <c r="BB106" i="8"/>
  <c r="AT106" i="8"/>
  <c r="DG106" i="8" s="1"/>
  <c r="AZ106" i="8"/>
  <c r="AR106" i="8"/>
  <c r="AY106" i="8"/>
  <c r="AX106" i="8"/>
  <c r="DI106" i="8" s="1"/>
  <c r="AW106" i="8"/>
  <c r="AS106" i="8"/>
  <c r="AQ106" i="8"/>
  <c r="AP106" i="8"/>
  <c r="DF106" i="8" s="1"/>
  <c r="AO106" i="8"/>
  <c r="BA106" i="8"/>
  <c r="I284" i="8"/>
  <c r="J284" i="8" s="1"/>
  <c r="S103" i="8"/>
  <c r="CZ103" i="8" s="1"/>
  <c r="Z103" i="8"/>
  <c r="R103" i="8"/>
  <c r="CY103" i="8" s="1"/>
  <c r="Y103" i="8"/>
  <c r="Q103" i="8"/>
  <c r="X103" i="8"/>
  <c r="P103" i="8"/>
  <c r="W103" i="8"/>
  <c r="V103" i="8"/>
  <c r="DA103" i="8" s="1"/>
  <c r="N103" i="8"/>
  <c r="CX103" i="8" s="1"/>
  <c r="U103" i="8"/>
  <c r="M103" i="8"/>
  <c r="T103" i="8"/>
  <c r="O103" i="8"/>
  <c r="AZ50" i="8"/>
  <c r="AR50" i="8"/>
  <c r="AY50" i="8"/>
  <c r="AQ50" i="8"/>
  <c r="AX50" i="8"/>
  <c r="DI50" i="8" s="1"/>
  <c r="AP50" i="8"/>
  <c r="DF50" i="8" s="1"/>
  <c r="AW50" i="8"/>
  <c r="AO50" i="8"/>
  <c r="AV50" i="8"/>
  <c r="AU50" i="8"/>
  <c r="DH50" i="8" s="1"/>
  <c r="AT50" i="8"/>
  <c r="DG50" i="8" s="1"/>
  <c r="BA50" i="8"/>
  <c r="AS50" i="8"/>
  <c r="BB50" i="8"/>
  <c r="AW100" i="8"/>
  <c r="AO100" i="8"/>
  <c r="AV100" i="8"/>
  <c r="AU100" i="8"/>
  <c r="DH100" i="8" s="1"/>
  <c r="BB100" i="8"/>
  <c r="AT100" i="8"/>
  <c r="DG100" i="8" s="1"/>
  <c r="BA100" i="8"/>
  <c r="AS100" i="8"/>
  <c r="AZ100" i="8"/>
  <c r="AR100" i="8"/>
  <c r="AY100" i="8"/>
  <c r="AQ100" i="8"/>
  <c r="AX100" i="8"/>
  <c r="DI100" i="8" s="1"/>
  <c r="AP100" i="8"/>
  <c r="DF100" i="8" s="1"/>
  <c r="T96" i="8"/>
  <c r="S96" i="8"/>
  <c r="CZ96" i="8" s="1"/>
  <c r="Z96" i="8"/>
  <c r="R96" i="8"/>
  <c r="CY96" i="8" s="1"/>
  <c r="X96" i="8"/>
  <c r="P96" i="8"/>
  <c r="W96" i="8"/>
  <c r="O96" i="8"/>
  <c r="N96" i="8"/>
  <c r="CX96" i="8" s="1"/>
  <c r="M96" i="8"/>
  <c r="Q96" i="8"/>
  <c r="Y96" i="8"/>
  <c r="V96" i="8"/>
  <c r="DA96" i="8" s="1"/>
  <c r="U96" i="8"/>
  <c r="S54" i="8"/>
  <c r="CZ54" i="8" s="1"/>
  <c r="R54" i="8"/>
  <c r="CY54" i="8" s="1"/>
  <c r="Y54" i="8"/>
  <c r="Q54" i="8"/>
  <c r="X54" i="8"/>
  <c r="P54" i="8"/>
  <c r="V54" i="8"/>
  <c r="DA54" i="8" s="1"/>
  <c r="N54" i="8"/>
  <c r="CX54" i="8" s="1"/>
  <c r="U54" i="8"/>
  <c r="W54" i="8"/>
  <c r="T54" i="8"/>
  <c r="O54" i="8"/>
  <c r="M54" i="8"/>
  <c r="Z54" i="8"/>
  <c r="AW104" i="8"/>
  <c r="AO104" i="8"/>
  <c r="AV104" i="8"/>
  <c r="AU104" i="8"/>
  <c r="DH104" i="8" s="1"/>
  <c r="BB104" i="8"/>
  <c r="AT104" i="8"/>
  <c r="DG104" i="8" s="1"/>
  <c r="BA104" i="8"/>
  <c r="AS104" i="8"/>
  <c r="AZ104" i="8"/>
  <c r="AR104" i="8"/>
  <c r="AY104" i="8"/>
  <c r="AQ104" i="8"/>
  <c r="AP104" i="8"/>
  <c r="DF104" i="8" s="1"/>
  <c r="AX104" i="8"/>
  <c r="DI104" i="8" s="1"/>
  <c r="BI47" i="8"/>
  <c r="DL47" i="8" s="1"/>
  <c r="BH47" i="8"/>
  <c r="DK47" i="8" s="1"/>
  <c r="BO47" i="8"/>
  <c r="BG47" i="8"/>
  <c r="BN47" i="8"/>
  <c r="BF47" i="8"/>
  <c r="BM47" i="8"/>
  <c r="BE47" i="8"/>
  <c r="BL47" i="8"/>
  <c r="DM47" i="8" s="1"/>
  <c r="BD47" i="8"/>
  <c r="DJ47" i="8" s="1"/>
  <c r="BK47" i="8"/>
  <c r="BC47" i="8"/>
  <c r="BJ47" i="8"/>
  <c r="BP47" i="8"/>
  <c r="BH52" i="8"/>
  <c r="DK52" i="8" s="1"/>
  <c r="BO52" i="8"/>
  <c r="BG52" i="8"/>
  <c r="BN52" i="8"/>
  <c r="BF52" i="8"/>
  <c r="BM52" i="8"/>
  <c r="BE52" i="8"/>
  <c r="BL52" i="8"/>
  <c r="DM52" i="8" s="1"/>
  <c r="BD52" i="8"/>
  <c r="DJ52" i="8" s="1"/>
  <c r="BK52" i="8"/>
  <c r="BC52" i="8"/>
  <c r="BJ52" i="8"/>
  <c r="BI52" i="8"/>
  <c r="DL52" i="8" s="1"/>
  <c r="BP52" i="8"/>
  <c r="BY102" i="8"/>
  <c r="BQ102" i="8"/>
  <c r="BX102" i="8"/>
  <c r="BW102" i="8"/>
  <c r="DP102" i="8" s="1"/>
  <c r="CD102" i="8"/>
  <c r="BV102" i="8"/>
  <c r="DO102" i="8" s="1"/>
  <c r="CC102" i="8"/>
  <c r="BU102" i="8"/>
  <c r="CB102" i="8"/>
  <c r="BT102" i="8"/>
  <c r="CA102" i="8"/>
  <c r="BS102" i="8"/>
  <c r="BR102" i="8"/>
  <c r="DN102" i="8" s="1"/>
  <c r="BZ102" i="8"/>
  <c r="DQ102" i="8" s="1"/>
  <c r="BI55" i="8"/>
  <c r="DL55" i="8" s="1"/>
  <c r="BH55" i="8"/>
  <c r="DK55" i="8" s="1"/>
  <c r="BO55" i="8"/>
  <c r="BG55" i="8"/>
  <c r="BN55" i="8"/>
  <c r="BF55" i="8"/>
  <c r="BM55" i="8"/>
  <c r="BE55" i="8"/>
  <c r="BL55" i="8"/>
  <c r="DM55" i="8" s="1"/>
  <c r="BD55" i="8"/>
  <c r="DJ55" i="8" s="1"/>
  <c r="BK55" i="8"/>
  <c r="BC55" i="8"/>
  <c r="BJ55" i="8"/>
  <c r="BP55" i="8"/>
  <c r="BB105" i="8"/>
  <c r="AY105" i="8"/>
  <c r="AQ105" i="8"/>
  <c r="AX105" i="8"/>
  <c r="DI105" i="8" s="1"/>
  <c r="AP105" i="8"/>
  <c r="DF105" i="8" s="1"/>
  <c r="AW105" i="8"/>
  <c r="AO105" i="8"/>
  <c r="AV105" i="8"/>
  <c r="AU105" i="8"/>
  <c r="DH105" i="8" s="1"/>
  <c r="AT105" i="8"/>
  <c r="DG105" i="8" s="1"/>
  <c r="BA105" i="8"/>
  <c r="AS105" i="8"/>
  <c r="AZ105" i="8"/>
  <c r="AR105" i="8"/>
  <c r="AJ56" i="8"/>
  <c r="DE56" i="8" s="1"/>
  <c r="AB56" i="8"/>
  <c r="DB56" i="8" s="1"/>
  <c r="AI56" i="8"/>
  <c r="AA56" i="8"/>
  <c r="AH56" i="8"/>
  <c r="AG56" i="8"/>
  <c r="DD56" i="8" s="1"/>
  <c r="AF56" i="8"/>
  <c r="DC56" i="8" s="1"/>
  <c r="AM56" i="8"/>
  <c r="AE56" i="8"/>
  <c r="AL56" i="8"/>
  <c r="AD56" i="8"/>
  <c r="AC56" i="8"/>
  <c r="AK56" i="8"/>
  <c r="AN56" i="8"/>
  <c r="BA45" i="8"/>
  <c r="AS45" i="8"/>
  <c r="AZ45" i="8"/>
  <c r="AR45" i="8"/>
  <c r="AY45" i="8"/>
  <c r="AQ45" i="8"/>
  <c r="AX45" i="8"/>
  <c r="DI45" i="8" s="1"/>
  <c r="AP45" i="8"/>
  <c r="DF45" i="8" s="1"/>
  <c r="AW45" i="8"/>
  <c r="AO45" i="8"/>
  <c r="AV45" i="8"/>
  <c r="AU45" i="8"/>
  <c r="DH45" i="8" s="1"/>
  <c r="AT45" i="8"/>
  <c r="DG45" i="8" s="1"/>
  <c r="BB45" i="8"/>
  <c r="V101" i="8"/>
  <c r="DA101" i="8" s="1"/>
  <c r="N101" i="8"/>
  <c r="CX101" i="8" s="1"/>
  <c r="U101" i="8"/>
  <c r="M101" i="8"/>
  <c r="T101" i="8"/>
  <c r="Z101" i="8"/>
  <c r="R101" i="8"/>
  <c r="CY101" i="8" s="1"/>
  <c r="Y101" i="8"/>
  <c r="Q101" i="8"/>
  <c r="X101" i="8"/>
  <c r="S101" i="8"/>
  <c r="CZ101" i="8" s="1"/>
  <c r="W101" i="8"/>
  <c r="P101" i="8"/>
  <c r="O101" i="8"/>
  <c r="BY98" i="8"/>
  <c r="BQ98" i="8"/>
  <c r="BX98" i="8"/>
  <c r="BW98" i="8"/>
  <c r="DP98" i="8" s="1"/>
  <c r="CD98" i="8"/>
  <c r="BV98" i="8"/>
  <c r="DO98" i="8" s="1"/>
  <c r="CC98" i="8"/>
  <c r="BU98" i="8"/>
  <c r="CB98" i="8"/>
  <c r="BT98" i="8"/>
  <c r="CA98" i="8"/>
  <c r="BS98" i="8"/>
  <c r="BZ98" i="8"/>
  <c r="DQ98" i="8" s="1"/>
  <c r="BR98" i="8"/>
  <c r="DN98" i="8" s="1"/>
  <c r="AH53" i="8"/>
  <c r="AG53" i="8"/>
  <c r="DD53" i="8" s="1"/>
  <c r="AF53" i="8"/>
  <c r="DC53" i="8" s="1"/>
  <c r="AM53" i="8"/>
  <c r="AE53" i="8"/>
  <c r="AL53" i="8"/>
  <c r="AD53" i="8"/>
  <c r="AK53" i="8"/>
  <c r="AC53" i="8"/>
  <c r="AI53" i="8"/>
  <c r="AB53" i="8"/>
  <c r="DB53" i="8" s="1"/>
  <c r="AA53" i="8"/>
  <c r="AJ53" i="8"/>
  <c r="DE53" i="8" s="1"/>
  <c r="AN53" i="8"/>
  <c r="BL95" i="8"/>
  <c r="DM95" i="8" s="1"/>
  <c r="BD95" i="8"/>
  <c r="DJ95" i="8" s="1"/>
  <c r="BK95" i="8"/>
  <c r="BC95" i="8"/>
  <c r="BJ95" i="8"/>
  <c r="BP95" i="8"/>
  <c r="BH95" i="8"/>
  <c r="DK95" i="8" s="1"/>
  <c r="BO95" i="8"/>
  <c r="BG95" i="8"/>
  <c r="BN95" i="8"/>
  <c r="BM95" i="8"/>
  <c r="BI95" i="8"/>
  <c r="DL95" i="8" s="1"/>
  <c r="BF95" i="8"/>
  <c r="BE95" i="8"/>
  <c r="AU103" i="8"/>
  <c r="DH103" i="8" s="1"/>
  <c r="BB103" i="8"/>
  <c r="AT103" i="8"/>
  <c r="DG103" i="8" s="1"/>
  <c r="BA103" i="8"/>
  <c r="AS103" i="8"/>
  <c r="AZ103" i="8"/>
  <c r="AR103" i="8"/>
  <c r="AY103" i="8"/>
  <c r="AQ103" i="8"/>
  <c r="AX103" i="8"/>
  <c r="DI103" i="8" s="1"/>
  <c r="AP103" i="8"/>
  <c r="DF103" i="8" s="1"/>
  <c r="AW103" i="8"/>
  <c r="AO103" i="8"/>
  <c r="AV103" i="8"/>
  <c r="CB50" i="8"/>
  <c r="BT50" i="8"/>
  <c r="CA50" i="8"/>
  <c r="BS50" i="8"/>
  <c r="BZ50" i="8"/>
  <c r="DQ50" i="8" s="1"/>
  <c r="BR50" i="8"/>
  <c r="DN50" i="8" s="1"/>
  <c r="BY50" i="8"/>
  <c r="BQ50" i="8"/>
  <c r="BX50" i="8"/>
  <c r="BW50" i="8"/>
  <c r="DP50" i="8" s="1"/>
  <c r="BV50" i="8"/>
  <c r="DO50" i="8" s="1"/>
  <c r="CC50" i="8"/>
  <c r="BU50" i="8"/>
  <c r="CD50" i="8"/>
  <c r="CC100" i="8"/>
  <c r="BU100" i="8"/>
  <c r="CB100" i="8"/>
  <c r="BT100" i="8"/>
  <c r="CA100" i="8"/>
  <c r="BS100" i="8"/>
  <c r="BZ100" i="8"/>
  <c r="DQ100" i="8" s="1"/>
  <c r="BR100" i="8"/>
  <c r="DN100" i="8" s="1"/>
  <c r="BY100" i="8"/>
  <c r="BQ100" i="8"/>
  <c r="BX100" i="8"/>
  <c r="BW100" i="8"/>
  <c r="DP100" i="8" s="1"/>
  <c r="CD100" i="8"/>
  <c r="BV100" i="8"/>
  <c r="DO100" i="8" s="1"/>
  <c r="AI96" i="8"/>
  <c r="AA96" i="8"/>
  <c r="AH96" i="8"/>
  <c r="AG96" i="8"/>
  <c r="DD96" i="8" s="1"/>
  <c r="AN96" i="8"/>
  <c r="AF96" i="8"/>
  <c r="DC96" i="8" s="1"/>
  <c r="AM96" i="8"/>
  <c r="AE96" i="8"/>
  <c r="AL96" i="8"/>
  <c r="AD96" i="8"/>
  <c r="AK96" i="8"/>
  <c r="AC96" i="8"/>
  <c r="AJ96" i="8"/>
  <c r="DE96" i="8" s="1"/>
  <c r="AB96" i="8"/>
  <c r="DB96" i="8" s="1"/>
  <c r="AV54" i="8"/>
  <c r="AU54" i="8"/>
  <c r="DH54" i="8" s="1"/>
  <c r="AT54" i="8"/>
  <c r="DG54" i="8" s="1"/>
  <c r="BA54" i="8"/>
  <c r="AS54" i="8"/>
  <c r="AZ54" i="8"/>
  <c r="AR54" i="8"/>
  <c r="AY54" i="8"/>
  <c r="AQ54" i="8"/>
  <c r="AX54" i="8"/>
  <c r="DI54" i="8" s="1"/>
  <c r="AP54" i="8"/>
  <c r="DF54" i="8" s="1"/>
  <c r="AO54" i="8"/>
  <c r="AW54" i="8"/>
  <c r="BB54" i="8"/>
  <c r="CC104" i="8"/>
  <c r="BU104" i="8"/>
  <c r="CB104" i="8"/>
  <c r="BT104" i="8"/>
  <c r="CA104" i="8"/>
  <c r="BS104" i="8"/>
  <c r="BZ104" i="8"/>
  <c r="DQ104" i="8" s="1"/>
  <c r="BR104" i="8"/>
  <c r="DN104" i="8" s="1"/>
  <c r="BY104" i="8"/>
  <c r="BQ104" i="8"/>
  <c r="BX104" i="8"/>
  <c r="BW104" i="8"/>
  <c r="DP104" i="8" s="1"/>
  <c r="CD104" i="8"/>
  <c r="BV104" i="8"/>
  <c r="DO104" i="8" s="1"/>
  <c r="X102" i="8"/>
  <c r="P102" i="8"/>
  <c r="W102" i="8"/>
  <c r="O102" i="8"/>
  <c r="V102" i="8"/>
  <c r="DA102" i="8" s="1"/>
  <c r="N102" i="8"/>
  <c r="CX102" i="8" s="1"/>
  <c r="T102" i="8"/>
  <c r="S102" i="8"/>
  <c r="CZ102" i="8" s="1"/>
  <c r="M102" i="8"/>
  <c r="Q102" i="8"/>
  <c r="R102" i="8"/>
  <c r="CY102" i="8" s="1"/>
  <c r="Z102" i="8"/>
  <c r="Y102" i="8"/>
  <c r="U102" i="8"/>
  <c r="AF55" i="8"/>
  <c r="DC55" i="8" s="1"/>
  <c r="AM55" i="8"/>
  <c r="AE55" i="8"/>
  <c r="AL55" i="8"/>
  <c r="AD55" i="8"/>
  <c r="AK55" i="8"/>
  <c r="AC55" i="8"/>
  <c r="AJ55" i="8"/>
  <c r="DE55" i="8" s="1"/>
  <c r="AB55" i="8"/>
  <c r="DB55" i="8" s="1"/>
  <c r="AI55" i="8"/>
  <c r="AA55" i="8"/>
  <c r="AH55" i="8"/>
  <c r="AG55" i="8"/>
  <c r="DD55" i="8" s="1"/>
  <c r="AN55" i="8"/>
  <c r="AK105" i="8"/>
  <c r="AC105" i="8"/>
  <c r="AJ105" i="8"/>
  <c r="DE105" i="8" s="1"/>
  <c r="AB105" i="8"/>
  <c r="DB105" i="8" s="1"/>
  <c r="AI105" i="8"/>
  <c r="AA105" i="8"/>
  <c r="AH105" i="8"/>
  <c r="AG105" i="8"/>
  <c r="DD105" i="8" s="1"/>
  <c r="AN105" i="8"/>
  <c r="AF105" i="8"/>
  <c r="DC105" i="8" s="1"/>
  <c r="AM105" i="8"/>
  <c r="AE105" i="8"/>
  <c r="AL105" i="8"/>
  <c r="AD105" i="8"/>
  <c r="AT56" i="8"/>
  <c r="DG56" i="8" s="1"/>
  <c r="BA56" i="8"/>
  <c r="AS56" i="8"/>
  <c r="AZ56" i="8"/>
  <c r="AR56" i="8"/>
  <c r="AY56" i="8"/>
  <c r="AQ56" i="8"/>
  <c r="AX56" i="8"/>
  <c r="DI56" i="8" s="1"/>
  <c r="AP56" i="8"/>
  <c r="DF56" i="8" s="1"/>
  <c r="AW56" i="8"/>
  <c r="AO56" i="8"/>
  <c r="AV56" i="8"/>
  <c r="AU56" i="8"/>
  <c r="DH56" i="8" s="1"/>
  <c r="BB56" i="8"/>
  <c r="BY49" i="8"/>
  <c r="BQ49" i="8"/>
  <c r="BX49" i="8"/>
  <c r="BW49" i="8"/>
  <c r="DP49" i="8" s="1"/>
  <c r="BV49" i="8"/>
  <c r="DO49" i="8" s="1"/>
  <c r="CC49" i="8"/>
  <c r="BU49" i="8"/>
  <c r="CB49" i="8"/>
  <c r="BT49" i="8"/>
  <c r="CA49" i="8"/>
  <c r="BS49" i="8"/>
  <c r="BZ49" i="8"/>
  <c r="DQ49" i="8" s="1"/>
  <c r="BR49" i="8"/>
  <c r="DN49" i="8" s="1"/>
  <c r="CD49" i="8"/>
  <c r="Z99" i="8"/>
  <c r="R99" i="8"/>
  <c r="CY99" i="8" s="1"/>
  <c r="Y99" i="8"/>
  <c r="Q99" i="8"/>
  <c r="X99" i="8"/>
  <c r="P99" i="8"/>
  <c r="V99" i="8"/>
  <c r="DA99" i="8" s="1"/>
  <c r="N99" i="8"/>
  <c r="CX99" i="8" s="1"/>
  <c r="U99" i="8"/>
  <c r="M99" i="8"/>
  <c r="O99" i="8"/>
  <c r="W99" i="8"/>
  <c r="T99" i="8"/>
  <c r="S99" i="8"/>
  <c r="CZ99" i="8" s="1"/>
  <c r="BK45" i="8"/>
  <c r="BC45" i="8"/>
  <c r="BJ45" i="8"/>
  <c r="BI45" i="8"/>
  <c r="DL45" i="8" s="1"/>
  <c r="BH45" i="8"/>
  <c r="DK45" i="8" s="1"/>
  <c r="BO45" i="8"/>
  <c r="BG45" i="8"/>
  <c r="BN45" i="8"/>
  <c r="BF45" i="8"/>
  <c r="BM45" i="8"/>
  <c r="BE45" i="8"/>
  <c r="BL45" i="8"/>
  <c r="DM45" i="8" s="1"/>
  <c r="BD45" i="8"/>
  <c r="DJ45" i="8" s="1"/>
  <c r="BP45" i="8"/>
  <c r="BM51" i="8"/>
  <c r="BE51" i="8"/>
  <c r="BL51" i="8"/>
  <c r="DM51" i="8" s="1"/>
  <c r="BD51" i="8"/>
  <c r="DJ51" i="8" s="1"/>
  <c r="BK51" i="8"/>
  <c r="BC51" i="8"/>
  <c r="BJ51" i="8"/>
  <c r="BI51" i="8"/>
  <c r="DL51" i="8" s="1"/>
  <c r="BH51" i="8"/>
  <c r="DK51" i="8" s="1"/>
  <c r="BO51" i="8"/>
  <c r="BG51" i="8"/>
  <c r="BN51" i="8"/>
  <c r="BF51" i="8"/>
  <c r="BP51" i="8"/>
  <c r="AY101" i="8"/>
  <c r="AQ101" i="8"/>
  <c r="AX101" i="8"/>
  <c r="DI101" i="8" s="1"/>
  <c r="AP101" i="8"/>
  <c r="DF101" i="8" s="1"/>
  <c r="AW101" i="8"/>
  <c r="AO101" i="8"/>
  <c r="AV101" i="8"/>
  <c r="AU101" i="8"/>
  <c r="DH101" i="8" s="1"/>
  <c r="BB101" i="8"/>
  <c r="AT101" i="8"/>
  <c r="DG101" i="8" s="1"/>
  <c r="BA101" i="8"/>
  <c r="AS101" i="8"/>
  <c r="AZ101" i="8"/>
  <c r="AR101" i="8"/>
  <c r="AI48" i="8"/>
  <c r="AA48" i="8"/>
  <c r="AH48" i="8"/>
  <c r="AG48" i="8"/>
  <c r="DD48" i="8" s="1"/>
  <c r="AF48" i="8"/>
  <c r="DC48" i="8" s="1"/>
  <c r="AM48" i="8"/>
  <c r="AE48" i="8"/>
  <c r="AL48" i="8"/>
  <c r="AD48" i="8"/>
  <c r="AJ48" i="8"/>
  <c r="DE48" i="8" s="1"/>
  <c r="AC48" i="8"/>
  <c r="AB48" i="8"/>
  <c r="DB48" i="8" s="1"/>
  <c r="AK48" i="8"/>
  <c r="AN48" i="8"/>
  <c r="BX46" i="8"/>
  <c r="BW46" i="8"/>
  <c r="DP46" i="8" s="1"/>
  <c r="BV46" i="8"/>
  <c r="DO46" i="8" s="1"/>
  <c r="CC46" i="8"/>
  <c r="BU46" i="8"/>
  <c r="CB46" i="8"/>
  <c r="BT46" i="8"/>
  <c r="CA46" i="8"/>
  <c r="BS46" i="8"/>
  <c r="BZ46" i="8"/>
  <c r="DQ46" i="8" s="1"/>
  <c r="BR46" i="8"/>
  <c r="DN46" i="8" s="1"/>
  <c r="BY46" i="8"/>
  <c r="BQ46" i="8"/>
  <c r="CD46" i="8"/>
  <c r="BI105" i="8"/>
  <c r="DL105" i="8" s="1"/>
  <c r="BP105" i="8"/>
  <c r="BH105" i="8"/>
  <c r="DK105" i="8" s="1"/>
  <c r="BO105" i="8"/>
  <c r="BG105" i="8"/>
  <c r="BN105" i="8"/>
  <c r="BF105" i="8"/>
  <c r="BM105" i="8"/>
  <c r="BE105" i="8"/>
  <c r="BL105" i="8"/>
  <c r="DM105" i="8" s="1"/>
  <c r="BD105" i="8"/>
  <c r="DJ105" i="8" s="1"/>
  <c r="BK105" i="8"/>
  <c r="BC105" i="8"/>
  <c r="BJ105" i="8"/>
  <c r="M51" i="8"/>
  <c r="N51" i="8"/>
  <c r="CX51" i="8" s="1"/>
  <c r="R51" i="8"/>
  <c r="CY51" i="8" s="1"/>
  <c r="Y51" i="8"/>
  <c r="Q51" i="8"/>
  <c r="X51" i="8"/>
  <c r="P51" i="8"/>
  <c r="W51" i="8"/>
  <c r="O51" i="8"/>
  <c r="U51" i="8"/>
  <c r="T51" i="8"/>
  <c r="S51" i="8"/>
  <c r="CZ51" i="8" s="1"/>
  <c r="V51" i="8"/>
  <c r="DA51" i="8" s="1"/>
  <c r="Z51" i="8"/>
  <c r="CA103" i="8"/>
  <c r="BS103" i="8"/>
  <c r="BZ103" i="8"/>
  <c r="DQ103" i="8" s="1"/>
  <c r="BR103" i="8"/>
  <c r="DN103" i="8" s="1"/>
  <c r="BY103" i="8"/>
  <c r="BQ103" i="8"/>
  <c r="BX103" i="8"/>
  <c r="BW103" i="8"/>
  <c r="DP103" i="8" s="1"/>
  <c r="CD103" i="8"/>
  <c r="BV103" i="8"/>
  <c r="DO103" i="8" s="1"/>
  <c r="CC103" i="8"/>
  <c r="BU103" i="8"/>
  <c r="CB103" i="8"/>
  <c r="BT103" i="8"/>
  <c r="BJ50" i="8"/>
  <c r="BI50" i="8"/>
  <c r="DL50" i="8" s="1"/>
  <c r="BH50" i="8"/>
  <c r="DK50" i="8" s="1"/>
  <c r="BO50" i="8"/>
  <c r="BG50" i="8"/>
  <c r="BN50" i="8"/>
  <c r="BF50" i="8"/>
  <c r="BM50" i="8"/>
  <c r="BE50" i="8"/>
  <c r="BL50" i="8"/>
  <c r="DM50" i="8" s="1"/>
  <c r="BD50" i="8"/>
  <c r="DJ50" i="8" s="1"/>
  <c r="BK50" i="8"/>
  <c r="BC50" i="8"/>
  <c r="BP50" i="8"/>
  <c r="AV46" i="8"/>
  <c r="AU46" i="8"/>
  <c r="DH46" i="8" s="1"/>
  <c r="AT46" i="8"/>
  <c r="DG46" i="8" s="1"/>
  <c r="BA46" i="8"/>
  <c r="AS46" i="8"/>
  <c r="AZ46" i="8"/>
  <c r="AR46" i="8"/>
  <c r="AY46" i="8"/>
  <c r="AQ46" i="8"/>
  <c r="AX46" i="8"/>
  <c r="DI46" i="8" s="1"/>
  <c r="AP46" i="8"/>
  <c r="DF46" i="8" s="1"/>
  <c r="AW46" i="8"/>
  <c r="AO46" i="8"/>
  <c r="BB46" i="8"/>
  <c r="AW96" i="8"/>
  <c r="AO96" i="8"/>
  <c r="AV96" i="8"/>
  <c r="AU96" i="8"/>
  <c r="DH96" i="8" s="1"/>
  <c r="BB96" i="8"/>
  <c r="AT96" i="8"/>
  <c r="DG96" i="8" s="1"/>
  <c r="BA96" i="8"/>
  <c r="AS96" i="8"/>
  <c r="AZ96" i="8"/>
  <c r="AR96" i="8"/>
  <c r="AY96" i="8"/>
  <c r="AQ96" i="8"/>
  <c r="AX96" i="8"/>
  <c r="DI96" i="8" s="1"/>
  <c r="AP96" i="8"/>
  <c r="DF96" i="8" s="1"/>
  <c r="BX54" i="8"/>
  <c r="BW54" i="8"/>
  <c r="DP54" i="8" s="1"/>
  <c r="BV54" i="8"/>
  <c r="DO54" i="8" s="1"/>
  <c r="CC54" i="8"/>
  <c r="BU54" i="8"/>
  <c r="CB54" i="8"/>
  <c r="BT54" i="8"/>
  <c r="CA54" i="8"/>
  <c r="BS54" i="8"/>
  <c r="BZ54" i="8"/>
  <c r="DQ54" i="8" s="1"/>
  <c r="BR54" i="8"/>
  <c r="DN54" i="8" s="1"/>
  <c r="BY54" i="8"/>
  <c r="BQ54" i="8"/>
  <c r="CD54" i="8"/>
  <c r="BO104" i="8"/>
  <c r="BG104" i="8"/>
  <c r="BN104" i="8"/>
  <c r="BF104" i="8"/>
  <c r="BM104" i="8"/>
  <c r="BE104" i="8"/>
  <c r="BL104" i="8"/>
  <c r="DM104" i="8" s="1"/>
  <c r="BD104" i="8"/>
  <c r="DJ104" i="8" s="1"/>
  <c r="BK104" i="8"/>
  <c r="BC104" i="8"/>
  <c r="BJ104" i="8"/>
  <c r="BI104" i="8"/>
  <c r="DL104" i="8" s="1"/>
  <c r="BP104" i="8"/>
  <c r="BH104" i="8"/>
  <c r="DK104" i="8" s="1"/>
  <c r="BW97" i="8"/>
  <c r="DP97" i="8" s="1"/>
  <c r="CD97" i="8"/>
  <c r="BV97" i="8"/>
  <c r="DO97" i="8" s="1"/>
  <c r="CC97" i="8"/>
  <c r="BU97" i="8"/>
  <c r="CB97" i="8"/>
  <c r="BT97" i="8"/>
  <c r="CA97" i="8"/>
  <c r="BS97" i="8"/>
  <c r="BZ97" i="8"/>
  <c r="DQ97" i="8" s="1"/>
  <c r="BR97" i="8"/>
  <c r="DN97" i="8" s="1"/>
  <c r="BY97" i="8"/>
  <c r="BQ97" i="8"/>
  <c r="BX97" i="8"/>
  <c r="AX52" i="8"/>
  <c r="DI52" i="8" s="1"/>
  <c r="AP52" i="8"/>
  <c r="DF52" i="8" s="1"/>
  <c r="AW52" i="8"/>
  <c r="AO52" i="8"/>
  <c r="AV52" i="8"/>
  <c r="AU52" i="8"/>
  <c r="DH52" i="8" s="1"/>
  <c r="AT52" i="8"/>
  <c r="DG52" i="8" s="1"/>
  <c r="BA52" i="8"/>
  <c r="AS52" i="8"/>
  <c r="AZ52" i="8"/>
  <c r="AR52" i="8"/>
  <c r="AY52" i="8"/>
  <c r="AQ52" i="8"/>
  <c r="BB52" i="8"/>
  <c r="BK102" i="8"/>
  <c r="BC102" i="8"/>
  <c r="BJ102" i="8"/>
  <c r="BI102" i="8"/>
  <c r="DL102" i="8" s="1"/>
  <c r="BP102" i="8"/>
  <c r="BH102" i="8"/>
  <c r="DK102" i="8" s="1"/>
  <c r="BO102" i="8"/>
  <c r="BG102" i="8"/>
  <c r="BN102" i="8"/>
  <c r="BF102" i="8"/>
  <c r="BM102" i="8"/>
  <c r="BE102" i="8"/>
  <c r="BL102" i="8"/>
  <c r="DM102" i="8" s="1"/>
  <c r="BD102" i="8"/>
  <c r="DJ102" i="8" s="1"/>
  <c r="V55" i="8"/>
  <c r="DA55" i="8" s="1"/>
  <c r="N55" i="8"/>
  <c r="CX55" i="8" s="1"/>
  <c r="U55" i="8"/>
  <c r="M55" i="8"/>
  <c r="T55" i="8"/>
  <c r="S55" i="8"/>
  <c r="CZ55" i="8" s="1"/>
  <c r="Y55" i="8"/>
  <c r="Q55" i="8"/>
  <c r="W55" i="8"/>
  <c r="R55" i="8"/>
  <c r="CY55" i="8" s="1"/>
  <c r="P55" i="8"/>
  <c r="O55" i="8"/>
  <c r="X55" i="8"/>
  <c r="Z55" i="8"/>
  <c r="BW105" i="8"/>
  <c r="DP105" i="8" s="1"/>
  <c r="CD105" i="8"/>
  <c r="BV105" i="8"/>
  <c r="DO105" i="8" s="1"/>
  <c r="CC105" i="8"/>
  <c r="BU105" i="8"/>
  <c r="CB105" i="8"/>
  <c r="BT105" i="8"/>
  <c r="CA105" i="8"/>
  <c r="BS105" i="8"/>
  <c r="BZ105" i="8"/>
  <c r="DQ105" i="8" s="1"/>
  <c r="BR105" i="8"/>
  <c r="DN105" i="8" s="1"/>
  <c r="BY105" i="8"/>
  <c r="BQ105" i="8"/>
  <c r="BX105" i="8"/>
  <c r="T49" i="8"/>
  <c r="S49" i="8"/>
  <c r="CZ49" i="8" s="1"/>
  <c r="R49" i="8"/>
  <c r="CY49" i="8" s="1"/>
  <c r="Q49" i="8"/>
  <c r="W49" i="8"/>
  <c r="Y49" i="8"/>
  <c r="O49" i="8"/>
  <c r="X49" i="8"/>
  <c r="P49" i="8"/>
  <c r="V49" i="8"/>
  <c r="DA49" i="8" s="1"/>
  <c r="N49" i="8"/>
  <c r="CX49" i="8" s="1"/>
  <c r="U49" i="8"/>
  <c r="M49" i="8"/>
  <c r="Z49" i="8"/>
  <c r="AU99" i="8"/>
  <c r="DH99" i="8" s="1"/>
  <c r="BB99" i="8"/>
  <c r="AT99" i="8"/>
  <c r="DG99" i="8" s="1"/>
  <c r="BA99" i="8"/>
  <c r="AS99" i="8"/>
  <c r="AZ99" i="8"/>
  <c r="AR99" i="8"/>
  <c r="AY99" i="8"/>
  <c r="AQ99" i="8"/>
  <c r="AX99" i="8"/>
  <c r="DI99" i="8" s="1"/>
  <c r="AP99" i="8"/>
  <c r="DF99" i="8" s="1"/>
  <c r="AW99" i="8"/>
  <c r="AO99" i="8"/>
  <c r="AV99" i="8"/>
  <c r="Z95" i="8"/>
  <c r="R95" i="8"/>
  <c r="CY95" i="8" s="1"/>
  <c r="Y95" i="8"/>
  <c r="Q95" i="8"/>
  <c r="X95" i="8"/>
  <c r="P95" i="8"/>
  <c r="V95" i="8"/>
  <c r="DA95" i="8" s="1"/>
  <c r="N95" i="8"/>
  <c r="CX95" i="8" s="1"/>
  <c r="U95" i="8"/>
  <c r="M95" i="8"/>
  <c r="W95" i="8"/>
  <c r="S95" i="8"/>
  <c r="CZ95" i="8" s="1"/>
  <c r="T95" i="8"/>
  <c r="O95" i="8"/>
  <c r="AJ51" i="8"/>
  <c r="DE51" i="8" s="1"/>
  <c r="AB51" i="8"/>
  <c r="DB51" i="8" s="1"/>
  <c r="AI51" i="8"/>
  <c r="AA51" i="8"/>
  <c r="AH51" i="8"/>
  <c r="AG51" i="8"/>
  <c r="DD51" i="8" s="1"/>
  <c r="AF51" i="8"/>
  <c r="DC51" i="8" s="1"/>
  <c r="AM51" i="8"/>
  <c r="AE51" i="8"/>
  <c r="AC51" i="8"/>
  <c r="AL51" i="8"/>
  <c r="AK51" i="8"/>
  <c r="AD51" i="8"/>
  <c r="AN51" i="8"/>
  <c r="AT48" i="8"/>
  <c r="DG48" i="8" s="1"/>
  <c r="BA48" i="8"/>
  <c r="AS48" i="8"/>
  <c r="AZ48" i="8"/>
  <c r="AR48" i="8"/>
  <c r="AY48" i="8"/>
  <c r="AQ48" i="8"/>
  <c r="AX48" i="8"/>
  <c r="DI48" i="8" s="1"/>
  <c r="AP48" i="8"/>
  <c r="DF48" i="8" s="1"/>
  <c r="AW48" i="8"/>
  <c r="AO48" i="8"/>
  <c r="AV48" i="8"/>
  <c r="AU48" i="8"/>
  <c r="DH48" i="8" s="1"/>
  <c r="BB48" i="8"/>
  <c r="U104" i="8"/>
  <c r="M104" i="8"/>
  <c r="T104" i="8"/>
  <c r="S104" i="8"/>
  <c r="CZ104" i="8" s="1"/>
  <c r="Z104" i="8"/>
  <c r="R104" i="8"/>
  <c r="CY104" i="8" s="1"/>
  <c r="Y104" i="8"/>
  <c r="Q104" i="8"/>
  <c r="X104" i="8"/>
  <c r="P104" i="8"/>
  <c r="W104" i="8"/>
  <c r="O104" i="8"/>
  <c r="N104" i="8"/>
  <c r="CX104" i="8" s="1"/>
  <c r="V104" i="8"/>
  <c r="DA104" i="8" s="1"/>
  <c r="BV56" i="8"/>
  <c r="DO56" i="8" s="1"/>
  <c r="CC56" i="8"/>
  <c r="BU56" i="8"/>
  <c r="CB56" i="8"/>
  <c r="BT56" i="8"/>
  <c r="CA56" i="8"/>
  <c r="BS56" i="8"/>
  <c r="BZ56" i="8"/>
  <c r="DQ56" i="8" s="1"/>
  <c r="BR56" i="8"/>
  <c r="DN56" i="8" s="1"/>
  <c r="BY56" i="8"/>
  <c r="BQ56" i="8"/>
  <c r="BX56" i="8"/>
  <c r="BW56" i="8"/>
  <c r="DP56" i="8" s="1"/>
  <c r="CD56" i="8"/>
  <c r="AG99" i="8"/>
  <c r="DD99" i="8" s="1"/>
  <c r="AN99" i="8"/>
  <c r="AF99" i="8"/>
  <c r="DC99" i="8" s="1"/>
  <c r="AM99" i="8"/>
  <c r="AE99" i="8"/>
  <c r="AL99" i="8"/>
  <c r="AD99" i="8"/>
  <c r="AK99" i="8"/>
  <c r="AC99" i="8"/>
  <c r="AJ99" i="8"/>
  <c r="DE99" i="8" s="1"/>
  <c r="AB99" i="8"/>
  <c r="DB99" i="8" s="1"/>
  <c r="AI99" i="8"/>
  <c r="AA99" i="8"/>
  <c r="AH99" i="8"/>
  <c r="CC53" i="8"/>
  <c r="BU53" i="8"/>
  <c r="CB53" i="8"/>
  <c r="BT53" i="8"/>
  <c r="CA53" i="8"/>
  <c r="BS53" i="8"/>
  <c r="BZ53" i="8"/>
  <c r="DQ53" i="8" s="1"/>
  <c r="BR53" i="8"/>
  <c r="DN53" i="8" s="1"/>
  <c r="BY53" i="8"/>
  <c r="BQ53" i="8"/>
  <c r="BX53" i="8"/>
  <c r="BW53" i="8"/>
  <c r="DP53" i="8" s="1"/>
  <c r="BV53" i="8"/>
  <c r="DO53" i="8" s="1"/>
  <c r="CD53" i="8"/>
  <c r="AG103" i="8"/>
  <c r="DD103" i="8" s="1"/>
  <c r="AN103" i="8"/>
  <c r="AF103" i="8"/>
  <c r="DC103" i="8" s="1"/>
  <c r="AM103" i="8"/>
  <c r="AE103" i="8"/>
  <c r="AL103" i="8"/>
  <c r="AD103" i="8"/>
  <c r="AK103" i="8"/>
  <c r="AC103" i="8"/>
  <c r="AJ103" i="8"/>
  <c r="DE103" i="8" s="1"/>
  <c r="AB103" i="8"/>
  <c r="DB103" i="8" s="1"/>
  <c r="AI103" i="8"/>
  <c r="AA103" i="8"/>
  <c r="AH103" i="8"/>
  <c r="S46" i="8"/>
  <c r="CZ46" i="8" s="1"/>
  <c r="N46" i="8"/>
  <c r="CX46" i="8" s="1"/>
  <c r="R46" i="8"/>
  <c r="CY46" i="8" s="1"/>
  <c r="X46" i="8"/>
  <c r="V46" i="8"/>
  <c r="DA46" i="8" s="1"/>
  <c r="Y46" i="8"/>
  <c r="Q46" i="8"/>
  <c r="P46" i="8"/>
  <c r="W46" i="8"/>
  <c r="O46" i="8"/>
  <c r="U46" i="8"/>
  <c r="M46" i="8"/>
  <c r="T46" i="8"/>
  <c r="Z46" i="8"/>
  <c r="CC96" i="8"/>
  <c r="BU96" i="8"/>
  <c r="CB96" i="8"/>
  <c r="BT96" i="8"/>
  <c r="CA96" i="8"/>
  <c r="BS96" i="8"/>
  <c r="BZ96" i="8"/>
  <c r="DQ96" i="8" s="1"/>
  <c r="BR96" i="8"/>
  <c r="DN96" i="8" s="1"/>
  <c r="BY96" i="8"/>
  <c r="BQ96" i="8"/>
  <c r="BX96" i="8"/>
  <c r="BW96" i="8"/>
  <c r="DP96" i="8" s="1"/>
  <c r="CD96" i="8"/>
  <c r="BV96" i="8"/>
  <c r="DO96" i="8" s="1"/>
  <c r="AK54" i="8"/>
  <c r="AC54" i="8"/>
  <c r="AJ54" i="8"/>
  <c r="DE54" i="8" s="1"/>
  <c r="AB54" i="8"/>
  <c r="DB54" i="8" s="1"/>
  <c r="AI54" i="8"/>
  <c r="AA54" i="8"/>
  <c r="AH54" i="8"/>
  <c r="AG54" i="8"/>
  <c r="DD54" i="8" s="1"/>
  <c r="AF54" i="8"/>
  <c r="DC54" i="8" s="1"/>
  <c r="AM54" i="8"/>
  <c r="AL54" i="8"/>
  <c r="AD54" i="8"/>
  <c r="AE54" i="8"/>
  <c r="AN54" i="8"/>
  <c r="V97" i="8"/>
  <c r="DA97" i="8" s="1"/>
  <c r="N97" i="8"/>
  <c r="CX97" i="8" s="1"/>
  <c r="U97" i="8"/>
  <c r="M97" i="8"/>
  <c r="T97" i="8"/>
  <c r="Z97" i="8"/>
  <c r="R97" i="8"/>
  <c r="CY97" i="8" s="1"/>
  <c r="Y97" i="8"/>
  <c r="Q97" i="8"/>
  <c r="S97" i="8"/>
  <c r="CZ97" i="8" s="1"/>
  <c r="P97" i="8"/>
  <c r="O97" i="8"/>
  <c r="X97" i="8"/>
  <c r="W97" i="8"/>
  <c r="BZ52" i="8"/>
  <c r="DQ52" i="8" s="1"/>
  <c r="BR52" i="8"/>
  <c r="DN52" i="8" s="1"/>
  <c r="BY52" i="8"/>
  <c r="BQ52" i="8"/>
  <c r="BX52" i="8"/>
  <c r="BW52" i="8"/>
  <c r="DP52" i="8" s="1"/>
  <c r="BV52" i="8"/>
  <c r="DO52" i="8" s="1"/>
  <c r="CC52" i="8"/>
  <c r="BU52" i="8"/>
  <c r="CB52" i="8"/>
  <c r="BT52" i="8"/>
  <c r="CA52" i="8"/>
  <c r="BS52" i="8"/>
  <c r="CD52" i="8"/>
  <c r="AY55" i="8"/>
  <c r="AQ55" i="8"/>
  <c r="AX55" i="8"/>
  <c r="DI55" i="8" s="1"/>
  <c r="AP55" i="8"/>
  <c r="DF55" i="8" s="1"/>
  <c r="AW55" i="8"/>
  <c r="AO55" i="8"/>
  <c r="AV55" i="8"/>
  <c r="AU55" i="8"/>
  <c r="DH55" i="8" s="1"/>
  <c r="AT55" i="8"/>
  <c r="DG55" i="8" s="1"/>
  <c r="BA55" i="8"/>
  <c r="AS55" i="8"/>
  <c r="AZ55" i="8"/>
  <c r="AR55" i="8"/>
  <c r="BB55" i="8"/>
  <c r="AM106" i="8"/>
  <c r="AE106" i="8"/>
  <c r="AL106" i="8"/>
  <c r="AD106" i="8"/>
  <c r="AK106" i="8"/>
  <c r="AC106" i="8"/>
  <c r="AJ106" i="8"/>
  <c r="DE106" i="8" s="1"/>
  <c r="AB106" i="8"/>
  <c r="DB106" i="8" s="1"/>
  <c r="AI106" i="8"/>
  <c r="AA106" i="8"/>
  <c r="AH106" i="8"/>
  <c r="AG106" i="8"/>
  <c r="DD106" i="8" s="1"/>
  <c r="AF106" i="8"/>
  <c r="DC106" i="8" s="1"/>
  <c r="AN106" i="8"/>
  <c r="AW49" i="8"/>
  <c r="AO49" i="8"/>
  <c r="AV49" i="8"/>
  <c r="AU49" i="8"/>
  <c r="DH49" i="8" s="1"/>
  <c r="AT49" i="8"/>
  <c r="DG49" i="8" s="1"/>
  <c r="BA49" i="8"/>
  <c r="AS49" i="8"/>
  <c r="AZ49" i="8"/>
  <c r="AR49" i="8"/>
  <c r="AY49" i="8"/>
  <c r="AQ49" i="8"/>
  <c r="AP49" i="8"/>
  <c r="DF49" i="8" s="1"/>
  <c r="AX49" i="8"/>
  <c r="DI49" i="8" s="1"/>
  <c r="BB49" i="8"/>
  <c r="CA99" i="8"/>
  <c r="BS99" i="8"/>
  <c r="BZ99" i="8"/>
  <c r="DQ99" i="8" s="1"/>
  <c r="BR99" i="8"/>
  <c r="DN99" i="8" s="1"/>
  <c r="BY99" i="8"/>
  <c r="BQ99" i="8"/>
  <c r="BX99" i="8"/>
  <c r="BW99" i="8"/>
  <c r="DP99" i="8" s="1"/>
  <c r="CD99" i="8"/>
  <c r="BV99" i="8"/>
  <c r="DO99" i="8" s="1"/>
  <c r="CC99" i="8"/>
  <c r="BU99" i="8"/>
  <c r="CB99" i="8"/>
  <c r="BT99" i="8"/>
  <c r="AU95" i="8"/>
  <c r="DH95" i="8" s="1"/>
  <c r="BB95" i="8"/>
  <c r="AT95" i="8"/>
  <c r="DG95" i="8" s="1"/>
  <c r="BA95" i="8"/>
  <c r="AS95" i="8"/>
  <c r="AZ95" i="8"/>
  <c r="AR95" i="8"/>
  <c r="AY95" i="8"/>
  <c r="AQ95" i="8"/>
  <c r="AX95" i="8"/>
  <c r="DI95" i="8" s="1"/>
  <c r="AP95" i="8"/>
  <c r="DF95" i="8" s="1"/>
  <c r="AW95" i="8"/>
  <c r="AO95" i="8"/>
  <c r="AV95" i="8"/>
  <c r="AU51" i="8"/>
  <c r="DH51" i="8" s="1"/>
  <c r="AT51" i="8"/>
  <c r="DG51" i="8" s="1"/>
  <c r="BA51" i="8"/>
  <c r="AS51" i="8"/>
  <c r="AZ51" i="8"/>
  <c r="AR51" i="8"/>
  <c r="AY51" i="8"/>
  <c r="AQ51" i="8"/>
  <c r="AX51" i="8"/>
  <c r="DI51" i="8" s="1"/>
  <c r="AP51" i="8"/>
  <c r="DF51" i="8" s="1"/>
  <c r="AW51" i="8"/>
  <c r="AO51" i="8"/>
  <c r="AV51" i="8"/>
  <c r="BB51" i="8"/>
  <c r="AK101" i="8"/>
  <c r="AC101" i="8"/>
  <c r="AJ101" i="8"/>
  <c r="DE101" i="8" s="1"/>
  <c r="AB101" i="8"/>
  <c r="DB101" i="8" s="1"/>
  <c r="AI101" i="8"/>
  <c r="AA101" i="8"/>
  <c r="AH101" i="8"/>
  <c r="AG101" i="8"/>
  <c r="DD101" i="8" s="1"/>
  <c r="AN101" i="8"/>
  <c r="AF101" i="8"/>
  <c r="DC101" i="8" s="1"/>
  <c r="AM101" i="8"/>
  <c r="AE101" i="8"/>
  <c r="AL101" i="8"/>
  <c r="AD101" i="8"/>
  <c r="X98" i="8"/>
  <c r="P98" i="8"/>
  <c r="W98" i="8"/>
  <c r="O98" i="8"/>
  <c r="V98" i="8"/>
  <c r="DA98" i="8" s="1"/>
  <c r="N98" i="8"/>
  <c r="CX98" i="8" s="1"/>
  <c r="T98" i="8"/>
  <c r="S98" i="8"/>
  <c r="CZ98" i="8" s="1"/>
  <c r="Z98" i="8"/>
  <c r="R98" i="8"/>
  <c r="CY98" i="8" s="1"/>
  <c r="Y98" i="8"/>
  <c r="U98" i="8"/>
  <c r="Q98" i="8"/>
  <c r="M98" i="8"/>
  <c r="W50" i="8"/>
  <c r="V50" i="8"/>
  <c r="DA50" i="8" s="1"/>
  <c r="N50" i="8"/>
  <c r="CX50" i="8" s="1"/>
  <c r="R50" i="8"/>
  <c r="CY50" i="8" s="1"/>
  <c r="U50" i="8"/>
  <c r="M50" i="8"/>
  <c r="T50" i="8"/>
  <c r="S50" i="8"/>
  <c r="CZ50" i="8" s="1"/>
  <c r="Y50" i="8"/>
  <c r="Q50" i="8"/>
  <c r="X50" i="8"/>
  <c r="P50" i="8"/>
  <c r="O50" i="8"/>
  <c r="Z50" i="8"/>
  <c r="M45" i="8"/>
  <c r="W45" i="8"/>
  <c r="O45" i="8"/>
  <c r="V45" i="8"/>
  <c r="DA45" i="8" s="1"/>
  <c r="N45" i="8"/>
  <c r="CX45" i="8" s="1"/>
  <c r="S45" i="8"/>
  <c r="CZ45" i="8" s="1"/>
  <c r="U45" i="8"/>
  <c r="T45" i="8"/>
  <c r="R45" i="8"/>
  <c r="CY45" i="8" s="1"/>
  <c r="X45" i="8"/>
  <c r="Y45" i="8"/>
  <c r="Q45" i="8"/>
  <c r="P45" i="8"/>
  <c r="Z45" i="8"/>
  <c r="G305" i="8"/>
  <c r="X53" i="8"/>
  <c r="P53" i="8"/>
  <c r="W53" i="8"/>
  <c r="O53" i="8"/>
  <c r="V53" i="8"/>
  <c r="DA53" i="8" s="1"/>
  <c r="N53" i="8"/>
  <c r="CX53" i="8" s="1"/>
  <c r="S53" i="8"/>
  <c r="CZ53" i="8" s="1"/>
  <c r="Y53" i="8"/>
  <c r="U53" i="8"/>
  <c r="T53" i="8"/>
  <c r="R53" i="8"/>
  <c r="CY53" i="8" s="1"/>
  <c r="Q53" i="8"/>
  <c r="M53" i="8"/>
  <c r="Z53" i="8"/>
  <c r="BM103" i="8"/>
  <c r="BE103" i="8"/>
  <c r="BL103" i="8"/>
  <c r="DM103" i="8" s="1"/>
  <c r="BD103" i="8"/>
  <c r="DJ103" i="8" s="1"/>
  <c r="BK103" i="8"/>
  <c r="BC103" i="8"/>
  <c r="BJ103" i="8"/>
  <c r="BI103" i="8"/>
  <c r="DL103" i="8" s="1"/>
  <c r="BP103" i="8"/>
  <c r="BH103" i="8"/>
  <c r="DK103" i="8" s="1"/>
  <c r="BO103" i="8"/>
  <c r="BG103" i="8"/>
  <c r="BN103" i="8"/>
  <c r="BF103" i="8"/>
  <c r="T100" i="8"/>
  <c r="S100" i="8"/>
  <c r="CZ100" i="8" s="1"/>
  <c r="Z100" i="8"/>
  <c r="R100" i="8"/>
  <c r="CY100" i="8" s="1"/>
  <c r="X100" i="8"/>
  <c r="P100" i="8"/>
  <c r="W100" i="8"/>
  <c r="O100" i="8"/>
  <c r="U100" i="8"/>
  <c r="Q100" i="8"/>
  <c r="N100" i="8"/>
  <c r="CX100" i="8" s="1"/>
  <c r="M100" i="8"/>
  <c r="Y100" i="8"/>
  <c r="V100" i="8"/>
  <c r="DA100" i="8" s="1"/>
  <c r="BN46" i="8"/>
  <c r="BF46" i="8"/>
  <c r="BM46" i="8"/>
  <c r="BE46" i="8"/>
  <c r="BL46" i="8"/>
  <c r="DM46" i="8" s="1"/>
  <c r="BD46" i="8"/>
  <c r="DJ46" i="8" s="1"/>
  <c r="BK46" i="8"/>
  <c r="BC46" i="8"/>
  <c r="BJ46" i="8"/>
  <c r="BI46" i="8"/>
  <c r="DL46" i="8" s="1"/>
  <c r="BH46" i="8"/>
  <c r="DK46" i="8" s="1"/>
  <c r="BO46" i="8"/>
  <c r="BG46" i="8"/>
  <c r="BP46" i="8"/>
  <c r="BN96" i="8"/>
  <c r="BF96" i="8"/>
  <c r="BM96" i="8"/>
  <c r="BE96" i="8"/>
  <c r="BL96" i="8"/>
  <c r="DM96" i="8" s="1"/>
  <c r="BD96" i="8"/>
  <c r="DJ96" i="8" s="1"/>
  <c r="BJ96" i="8"/>
  <c r="BI96" i="8"/>
  <c r="DL96" i="8" s="1"/>
  <c r="BG96" i="8"/>
  <c r="BC96" i="8"/>
  <c r="BP96" i="8"/>
  <c r="BO96" i="8"/>
  <c r="BK96" i="8"/>
  <c r="BH96" i="8"/>
  <c r="DK96" i="8" s="1"/>
  <c r="BN54" i="8"/>
  <c r="BF54" i="8"/>
  <c r="BM54" i="8"/>
  <c r="BE54" i="8"/>
  <c r="BL54" i="8"/>
  <c r="DM54" i="8" s="1"/>
  <c r="BD54" i="8"/>
  <c r="DJ54" i="8" s="1"/>
  <c r="BK54" i="8"/>
  <c r="BC54" i="8"/>
  <c r="BJ54" i="8"/>
  <c r="BI54" i="8"/>
  <c r="DL54" i="8" s="1"/>
  <c r="BH54" i="8"/>
  <c r="DK54" i="8" s="1"/>
  <c r="BO54" i="8"/>
  <c r="BG54" i="8"/>
  <c r="BP54" i="8"/>
  <c r="V47" i="8"/>
  <c r="DA47" i="8" s="1"/>
  <c r="U47" i="8"/>
  <c r="M47" i="8"/>
  <c r="T47" i="8"/>
  <c r="S47" i="8"/>
  <c r="CZ47" i="8" s="1"/>
  <c r="R47" i="8"/>
  <c r="CY47" i="8" s="1"/>
  <c r="Q47" i="8"/>
  <c r="X47" i="8"/>
  <c r="P47" i="8"/>
  <c r="W47" i="8"/>
  <c r="O47" i="8"/>
  <c r="N47" i="8"/>
  <c r="CX47" i="8" s="1"/>
  <c r="Y47" i="8"/>
  <c r="Z47" i="8"/>
  <c r="BP97" i="8"/>
  <c r="BH97" i="8"/>
  <c r="DK97" i="8" s="1"/>
  <c r="BO97" i="8"/>
  <c r="BG97" i="8"/>
  <c r="BN97" i="8"/>
  <c r="BF97" i="8"/>
  <c r="BL97" i="8"/>
  <c r="DM97" i="8" s="1"/>
  <c r="BD97" i="8"/>
  <c r="DJ97" i="8" s="1"/>
  <c r="BK97" i="8"/>
  <c r="BC97" i="8"/>
  <c r="BM97" i="8"/>
  <c r="BJ97" i="8"/>
  <c r="BI97" i="8"/>
  <c r="DL97" i="8" s="1"/>
  <c r="BE97" i="8"/>
  <c r="T52" i="8"/>
  <c r="X52" i="8"/>
  <c r="W52" i="8"/>
  <c r="N52" i="8"/>
  <c r="CX52" i="8" s="1"/>
  <c r="V52" i="8"/>
  <c r="DA52" i="8" s="1"/>
  <c r="M52" i="8"/>
  <c r="U52" i="8"/>
  <c r="Q52" i="8"/>
  <c r="S52" i="8"/>
  <c r="CZ52" i="8" s="1"/>
  <c r="R52" i="8"/>
  <c r="CY52" i="8" s="1"/>
  <c r="P52" i="8"/>
  <c r="Y52" i="8"/>
  <c r="O52" i="8"/>
  <c r="Z52" i="8"/>
  <c r="CA55" i="8"/>
  <c r="BS55" i="8"/>
  <c r="BZ55" i="8"/>
  <c r="DQ55" i="8" s="1"/>
  <c r="BR55" i="8"/>
  <c r="DN55" i="8" s="1"/>
  <c r="BY55" i="8"/>
  <c r="BQ55" i="8"/>
  <c r="BX55" i="8"/>
  <c r="BW55" i="8"/>
  <c r="DP55" i="8" s="1"/>
  <c r="BV55" i="8"/>
  <c r="DO55" i="8" s="1"/>
  <c r="CC55" i="8"/>
  <c r="BU55" i="8"/>
  <c r="CB55" i="8"/>
  <c r="BT55" i="8"/>
  <c r="CD55" i="8"/>
  <c r="BL56" i="8"/>
  <c r="DM56" i="8" s="1"/>
  <c r="BD56" i="8"/>
  <c r="DJ56" i="8" s="1"/>
  <c r="BK56" i="8"/>
  <c r="BC56" i="8"/>
  <c r="BJ56" i="8"/>
  <c r="BI56" i="8"/>
  <c r="DL56" i="8" s="1"/>
  <c r="BH56" i="8"/>
  <c r="DK56" i="8" s="1"/>
  <c r="BO56" i="8"/>
  <c r="BG56" i="8"/>
  <c r="BN56" i="8"/>
  <c r="BF56" i="8"/>
  <c r="BM56" i="8"/>
  <c r="BE56" i="8"/>
  <c r="BP56" i="8"/>
  <c r="BK106" i="8"/>
  <c r="BC106" i="8"/>
  <c r="BJ106" i="8"/>
  <c r="BI106" i="8"/>
  <c r="DL106" i="8" s="1"/>
  <c r="BP106" i="8"/>
  <c r="BH106" i="8"/>
  <c r="DK106" i="8" s="1"/>
  <c r="BO106" i="8"/>
  <c r="BG106" i="8"/>
  <c r="BN106" i="8"/>
  <c r="BF106" i="8"/>
  <c r="BM106" i="8"/>
  <c r="BE106" i="8"/>
  <c r="BL106" i="8"/>
  <c r="DM106" i="8" s="1"/>
  <c r="BD106" i="8"/>
  <c r="DJ106" i="8" s="1"/>
  <c r="AL49" i="8"/>
  <c r="AD49" i="8"/>
  <c r="AK49" i="8"/>
  <c r="AC49" i="8"/>
  <c r="AJ49" i="8"/>
  <c r="DE49" i="8" s="1"/>
  <c r="AB49" i="8"/>
  <c r="DB49" i="8" s="1"/>
  <c r="AI49" i="8"/>
  <c r="AA49" i="8"/>
  <c r="AH49" i="8"/>
  <c r="AG49" i="8"/>
  <c r="DD49" i="8" s="1"/>
  <c r="AF49" i="8"/>
  <c r="DC49" i="8" s="1"/>
  <c r="AM49" i="8"/>
  <c r="AE49" i="8"/>
  <c r="AN49" i="8"/>
  <c r="CA95" i="8"/>
  <c r="BS95" i="8"/>
  <c r="BZ95" i="8"/>
  <c r="DQ95" i="8" s="1"/>
  <c r="BR95" i="8"/>
  <c r="DN95" i="8" s="1"/>
  <c r="BY95" i="8"/>
  <c r="BQ95" i="8"/>
  <c r="BX95" i="8"/>
  <c r="BW95" i="8"/>
  <c r="DP95" i="8" s="1"/>
  <c r="CD95" i="8"/>
  <c r="BV95" i="8"/>
  <c r="DO95" i="8" s="1"/>
  <c r="CC95" i="8"/>
  <c r="BU95" i="8"/>
  <c r="CB95" i="8"/>
  <c r="BT95" i="8"/>
  <c r="BW51" i="8"/>
  <c r="DP51" i="8" s="1"/>
  <c r="BV51" i="8"/>
  <c r="DO51" i="8" s="1"/>
  <c r="CC51" i="8"/>
  <c r="BU51" i="8"/>
  <c r="CB51" i="8"/>
  <c r="BT51" i="8"/>
  <c r="CA51" i="8"/>
  <c r="BS51" i="8"/>
  <c r="BZ51" i="8"/>
  <c r="DQ51" i="8" s="1"/>
  <c r="BR51" i="8"/>
  <c r="DN51" i="8" s="1"/>
  <c r="BY51" i="8"/>
  <c r="BQ51" i="8"/>
  <c r="BX51" i="8"/>
  <c r="CD51" i="8"/>
  <c r="BI101" i="8"/>
  <c r="DL101" i="8" s="1"/>
  <c r="BP101" i="8"/>
  <c r="BH101" i="8"/>
  <c r="DK101" i="8" s="1"/>
  <c r="BO101" i="8"/>
  <c r="BG101" i="8"/>
  <c r="BN101" i="8"/>
  <c r="BF101" i="8"/>
  <c r="BM101" i="8"/>
  <c r="BE101" i="8"/>
  <c r="BL101" i="8"/>
  <c r="DM101" i="8" s="1"/>
  <c r="BD101" i="8"/>
  <c r="DJ101" i="8" s="1"/>
  <c r="BK101" i="8"/>
  <c r="BC101" i="8"/>
  <c r="BJ101" i="8"/>
  <c r="BJ98" i="8"/>
  <c r="BI98" i="8"/>
  <c r="DL98" i="8" s="1"/>
  <c r="BP98" i="8"/>
  <c r="BH98" i="8"/>
  <c r="DK98" i="8" s="1"/>
  <c r="BO98" i="8"/>
  <c r="BN98" i="8"/>
  <c r="BF98" i="8"/>
  <c r="BM98" i="8"/>
  <c r="BE98" i="8"/>
  <c r="BL98" i="8"/>
  <c r="DM98" i="8" s="1"/>
  <c r="BK98" i="8"/>
  <c r="BG98" i="8"/>
  <c r="BD98" i="8"/>
  <c r="DJ98" i="8" s="1"/>
  <c r="BC98" i="8"/>
  <c r="BO100" i="8"/>
  <c r="BG100" i="8"/>
  <c r="BN100" i="8"/>
  <c r="BF100" i="8"/>
  <c r="BM100" i="8"/>
  <c r="BE100" i="8"/>
  <c r="BL100" i="8"/>
  <c r="DM100" i="8" s="1"/>
  <c r="BD100" i="8"/>
  <c r="DJ100" i="8" s="1"/>
  <c r="BK100" i="8"/>
  <c r="BC100" i="8"/>
  <c r="BJ100" i="8"/>
  <c r="BI100" i="8"/>
  <c r="DL100" i="8" s="1"/>
  <c r="BH100" i="8"/>
  <c r="DK100" i="8" s="1"/>
  <c r="BP100" i="8"/>
  <c r="AM102" i="8"/>
  <c r="AE102" i="8"/>
  <c r="AL102" i="8"/>
  <c r="AD102" i="8"/>
  <c r="AK102" i="8"/>
  <c r="AC102" i="8"/>
  <c r="AJ102" i="8"/>
  <c r="DE102" i="8" s="1"/>
  <c r="AB102" i="8"/>
  <c r="DB102" i="8" s="1"/>
  <c r="AI102" i="8"/>
  <c r="AA102" i="8"/>
  <c r="AH102" i="8"/>
  <c r="AG102" i="8"/>
  <c r="DD102" i="8" s="1"/>
  <c r="AF102" i="8"/>
  <c r="DC102" i="8" s="1"/>
  <c r="AN102" i="8"/>
  <c r="BV48" i="8"/>
  <c r="DO48" i="8" s="1"/>
  <c r="CC48" i="8"/>
  <c r="BU48" i="8"/>
  <c r="CB48" i="8"/>
  <c r="BT48" i="8"/>
  <c r="CA48" i="8"/>
  <c r="BS48" i="8"/>
  <c r="BZ48" i="8"/>
  <c r="DQ48" i="8" s="1"/>
  <c r="BR48" i="8"/>
  <c r="DN48" i="8" s="1"/>
  <c r="BY48" i="8"/>
  <c r="BQ48" i="8"/>
  <c r="BX48" i="8"/>
  <c r="BW48" i="8"/>
  <c r="DP48" i="8" s="1"/>
  <c r="CD48" i="8"/>
  <c r="Q299" i="8"/>
  <c r="BA53" i="8"/>
  <c r="AS53" i="8"/>
  <c r="AZ53" i="8"/>
  <c r="AR53" i="8"/>
  <c r="AY53" i="8"/>
  <c r="AQ53" i="8"/>
  <c r="AX53" i="8"/>
  <c r="DI53" i="8" s="1"/>
  <c r="AP53" i="8"/>
  <c r="DF53" i="8" s="1"/>
  <c r="AW53" i="8"/>
  <c r="AO53" i="8"/>
  <c r="AV53" i="8"/>
  <c r="AU53" i="8"/>
  <c r="DH53" i="8" s="1"/>
  <c r="AT53" i="8"/>
  <c r="DG53" i="8" s="1"/>
  <c r="BB53" i="8"/>
  <c r="AI100" i="8"/>
  <c r="AA100" i="8"/>
  <c r="AH100" i="8"/>
  <c r="AG100" i="8"/>
  <c r="DD100" i="8" s="1"/>
  <c r="AN100" i="8"/>
  <c r="AF100" i="8"/>
  <c r="DC100" i="8" s="1"/>
  <c r="AM100" i="8"/>
  <c r="AE100" i="8"/>
  <c r="AL100" i="8"/>
  <c r="AD100" i="8"/>
  <c r="AK100" i="8"/>
  <c r="AC100" i="8"/>
  <c r="AJ100" i="8"/>
  <c r="DE100" i="8" s="1"/>
  <c r="AB100" i="8"/>
  <c r="DB100" i="8" s="1"/>
  <c r="AF47" i="8"/>
  <c r="DC47" i="8" s="1"/>
  <c r="AM47" i="8"/>
  <c r="AE47" i="8"/>
  <c r="AL47" i="8"/>
  <c r="AD47" i="8"/>
  <c r="AK47" i="8"/>
  <c r="AC47" i="8"/>
  <c r="AJ47" i="8"/>
  <c r="DE47" i="8" s="1"/>
  <c r="AB47" i="8"/>
  <c r="DB47" i="8" s="1"/>
  <c r="AI47" i="8"/>
  <c r="AA47" i="8"/>
  <c r="AH47" i="8"/>
  <c r="AG47" i="8"/>
  <c r="DD47" i="8" s="1"/>
  <c r="AN47" i="8"/>
  <c r="AK97" i="8"/>
  <c r="AC97" i="8"/>
  <c r="AJ97" i="8"/>
  <c r="DE97" i="8" s="1"/>
  <c r="AB97" i="8"/>
  <c r="DB97" i="8" s="1"/>
  <c r="AI97" i="8"/>
  <c r="AA97" i="8"/>
  <c r="AH97" i="8"/>
  <c r="AG97" i="8"/>
  <c r="DD97" i="8" s="1"/>
  <c r="AN97" i="8"/>
  <c r="AF97" i="8"/>
  <c r="DC97" i="8" s="1"/>
  <c r="AM97" i="8"/>
  <c r="AE97" i="8"/>
  <c r="AL97" i="8"/>
  <c r="AD97" i="8"/>
  <c r="AM52" i="8"/>
  <c r="AE52" i="8"/>
  <c r="AL52" i="8"/>
  <c r="AD52" i="8"/>
  <c r="AK52" i="8"/>
  <c r="AC52" i="8"/>
  <c r="AJ52" i="8"/>
  <c r="DE52" i="8" s="1"/>
  <c r="AB52" i="8"/>
  <c r="DB52" i="8" s="1"/>
  <c r="AI52" i="8"/>
  <c r="AA52" i="8"/>
  <c r="AH52" i="8"/>
  <c r="AG52" i="8"/>
  <c r="DD52" i="8" s="1"/>
  <c r="AF52" i="8"/>
  <c r="DC52" i="8" s="1"/>
  <c r="AN52" i="8"/>
  <c r="Y106" i="8"/>
  <c r="Q106" i="8"/>
  <c r="X106" i="8"/>
  <c r="P106" i="8"/>
  <c r="W106" i="8"/>
  <c r="O106" i="8"/>
  <c r="V106" i="8"/>
  <c r="DA106" i="8" s="1"/>
  <c r="N106" i="8"/>
  <c r="CX106" i="8" s="1"/>
  <c r="U106" i="8"/>
  <c r="M106" i="8"/>
  <c r="T106" i="8"/>
  <c r="S106" i="8"/>
  <c r="CZ106" i="8" s="1"/>
  <c r="Z106" i="8"/>
  <c r="R106" i="8"/>
  <c r="CY106" i="8" s="1"/>
  <c r="BO49" i="8"/>
  <c r="BG49" i="8"/>
  <c r="BN49" i="8"/>
  <c r="BF49" i="8"/>
  <c r="BM49" i="8"/>
  <c r="BE49" i="8"/>
  <c r="BL49" i="8"/>
  <c r="DM49" i="8" s="1"/>
  <c r="BD49" i="8"/>
  <c r="DJ49" i="8" s="1"/>
  <c r="BK49" i="8"/>
  <c r="BC49" i="8"/>
  <c r="BJ49" i="8"/>
  <c r="BI49" i="8"/>
  <c r="DL49" i="8" s="1"/>
  <c r="BH49" i="8"/>
  <c r="DK49" i="8" s="1"/>
  <c r="BP49" i="8"/>
  <c r="CC45" i="8"/>
  <c r="BU45" i="8"/>
  <c r="CB45" i="8"/>
  <c r="BT45" i="8"/>
  <c r="CA45" i="8"/>
  <c r="BS45" i="8"/>
  <c r="BZ45" i="8"/>
  <c r="DQ45" i="8" s="1"/>
  <c r="BR45" i="8"/>
  <c r="DN45" i="8" s="1"/>
  <c r="BY45" i="8"/>
  <c r="BQ45" i="8"/>
  <c r="BX45" i="8"/>
  <c r="BW45" i="8"/>
  <c r="DP45" i="8" s="1"/>
  <c r="BV45" i="8"/>
  <c r="DO45" i="8" s="1"/>
  <c r="CD45" i="8"/>
  <c r="AG95" i="8"/>
  <c r="DD95" i="8" s="1"/>
  <c r="AN95" i="8"/>
  <c r="AF95" i="8"/>
  <c r="DC95" i="8" s="1"/>
  <c r="AM95" i="8"/>
  <c r="AE95" i="8"/>
  <c r="AL95" i="8"/>
  <c r="AD95" i="8"/>
  <c r="AK95" i="8"/>
  <c r="AC95" i="8"/>
  <c r="AJ95" i="8"/>
  <c r="DE95" i="8" s="1"/>
  <c r="AB95" i="8"/>
  <c r="DB95" i="8" s="1"/>
  <c r="AI95" i="8"/>
  <c r="AA95" i="8"/>
  <c r="AH95" i="8"/>
  <c r="BL48" i="8"/>
  <c r="DM48" i="8" s="1"/>
  <c r="BD48" i="8"/>
  <c r="DJ48" i="8" s="1"/>
  <c r="BK48" i="8"/>
  <c r="BC48" i="8"/>
  <c r="BJ48" i="8"/>
  <c r="BI48" i="8"/>
  <c r="DL48" i="8" s="1"/>
  <c r="BH48" i="8"/>
  <c r="DK48" i="8" s="1"/>
  <c r="BO48" i="8"/>
  <c r="BG48" i="8"/>
  <c r="BN48" i="8"/>
  <c r="BF48" i="8"/>
  <c r="BM48" i="8"/>
  <c r="BE48" i="8"/>
  <c r="BP48" i="8"/>
  <c r="BA98" i="8"/>
  <c r="AS98" i="8"/>
  <c r="AZ98" i="8"/>
  <c r="AR98" i="8"/>
  <c r="AY98" i="8"/>
  <c r="AQ98" i="8"/>
  <c r="AX98" i="8"/>
  <c r="DI98" i="8" s="1"/>
  <c r="AP98" i="8"/>
  <c r="DF98" i="8" s="1"/>
  <c r="AW98" i="8"/>
  <c r="AO98" i="8"/>
  <c r="AV98" i="8"/>
  <c r="AU98" i="8"/>
  <c r="DH98" i="8" s="1"/>
  <c r="BB98" i="8"/>
  <c r="AT98" i="8"/>
  <c r="DG98" i="8" s="1"/>
  <c r="O299" i="8"/>
  <c r="I285" i="8"/>
  <c r="J285" i="8" s="1"/>
  <c r="S281" i="8"/>
  <c r="T281" i="8" s="1"/>
  <c r="S273" i="8"/>
  <c r="T273" i="8" s="1"/>
  <c r="O305" i="8"/>
  <c r="S284" i="8"/>
  <c r="T284" i="8" s="1"/>
  <c r="Q306" i="8"/>
  <c r="I278" i="8"/>
  <c r="J278" i="8" s="1"/>
  <c r="I272" i="8"/>
  <c r="J272" i="8" s="1"/>
  <c r="E304" i="8"/>
  <c r="I282" i="8"/>
  <c r="J282" i="8" s="1"/>
  <c r="F305" i="8"/>
  <c r="F297" i="8"/>
  <c r="S282" i="8"/>
  <c r="T282" i="8" s="1"/>
  <c r="O304" i="8"/>
  <c r="E300" i="8"/>
  <c r="I276" i="8"/>
  <c r="J276" i="8" s="1"/>
  <c r="E298" i="8"/>
  <c r="S287" i="8"/>
  <c r="T287" i="8" s="1"/>
  <c r="S279" i="8"/>
  <c r="T279" i="8" s="1"/>
  <c r="S271" i="8"/>
  <c r="T271" i="8" s="1"/>
  <c r="F304" i="8"/>
  <c r="S280" i="8"/>
  <c r="T280" i="8" s="1"/>
  <c r="O303" i="8"/>
  <c r="E296" i="8"/>
  <c r="I268" i="8"/>
  <c r="J268" i="8" s="1"/>
  <c r="I283" i="8"/>
  <c r="J283" i="8" s="1"/>
  <c r="I271" i="8"/>
  <c r="J271" i="8" s="1"/>
  <c r="E302" i="8"/>
  <c r="S286" i="8"/>
  <c r="T286" i="8" s="1"/>
  <c r="O306" i="8"/>
  <c r="G297" i="8"/>
  <c r="S278" i="8"/>
  <c r="T278" i="8" s="1"/>
  <c r="O302" i="8"/>
  <c r="I270" i="8"/>
  <c r="J270" i="8" s="1"/>
  <c r="S285" i="8"/>
  <c r="T285" i="8" s="1"/>
  <c r="S277" i="8"/>
  <c r="T277" i="8" s="1"/>
  <c r="S269" i="8"/>
  <c r="T269" i="8" s="1"/>
  <c r="O300" i="8"/>
  <c r="S276" i="8"/>
  <c r="T276" i="8" s="1"/>
  <c r="I287" i="8"/>
  <c r="J287" i="8" s="1"/>
  <c r="I281" i="8"/>
  <c r="J281" i="8" s="1"/>
  <c r="I275" i="8"/>
  <c r="J275" i="8" s="1"/>
  <c r="E303" i="8"/>
  <c r="E305" i="8"/>
  <c r="E297" i="8"/>
  <c r="S272" i="8"/>
  <c r="T272" i="8" s="1"/>
  <c r="O298" i="8"/>
  <c r="I286" i="8"/>
  <c r="J286" i="8" s="1"/>
  <c r="I280" i="8"/>
  <c r="J280" i="8" s="1"/>
  <c r="I274" i="8"/>
  <c r="J274" i="8" s="1"/>
  <c r="E299" i="8"/>
  <c r="G64" i="4"/>
  <c r="T64" i="4"/>
  <c r="H64" i="4"/>
  <c r="F65" i="4"/>
  <c r="T65" i="4"/>
  <c r="F64" i="4"/>
  <c r="G65" i="4"/>
  <c r="I63" i="4"/>
  <c r="H65" i="4"/>
  <c r="I64" i="4"/>
  <c r="N64" i="4"/>
  <c r="O65" i="1"/>
  <c r="R65" i="1"/>
  <c r="Q65" i="1"/>
  <c r="S65" i="1" s="1"/>
  <c r="T65" i="1" s="1"/>
  <c r="P65" i="1"/>
  <c r="R64" i="1"/>
  <c r="Q64" i="1"/>
  <c r="P64" i="1"/>
  <c r="O64" i="1"/>
  <c r="S64" i="1" s="1"/>
  <c r="T64" i="1" s="1"/>
  <c r="R63" i="1"/>
  <c r="Q63" i="1"/>
  <c r="P63" i="1"/>
  <c r="O63" i="1"/>
  <c r="R62" i="1"/>
  <c r="Q62" i="1"/>
  <c r="P62" i="1"/>
  <c r="O62" i="1"/>
  <c r="S62" i="1" s="1"/>
  <c r="T62" i="1" s="1"/>
  <c r="R61" i="1"/>
  <c r="Q61" i="1"/>
  <c r="P61" i="1"/>
  <c r="O61" i="1"/>
  <c r="R60" i="1"/>
  <c r="Q60" i="1"/>
  <c r="Q82" i="1" s="1"/>
  <c r="P60" i="1"/>
  <c r="O60" i="1"/>
  <c r="S60" i="1" s="1"/>
  <c r="T60" i="1" s="1"/>
  <c r="R59" i="1"/>
  <c r="Q59" i="1"/>
  <c r="P59" i="1"/>
  <c r="O59" i="1"/>
  <c r="R58" i="1"/>
  <c r="Q58" i="1"/>
  <c r="Q81" i="1" s="1"/>
  <c r="P58" i="1"/>
  <c r="O58" i="1"/>
  <c r="S58" i="1" s="1"/>
  <c r="T58" i="1" s="1"/>
  <c r="R57" i="1"/>
  <c r="Q57" i="1"/>
  <c r="P57" i="1"/>
  <c r="O57" i="1"/>
  <c r="R56" i="1"/>
  <c r="Q56" i="1"/>
  <c r="Q80" i="1" s="1"/>
  <c r="P56" i="1"/>
  <c r="O56" i="1"/>
  <c r="O80" i="1" s="1"/>
  <c r="R55" i="1"/>
  <c r="Q55" i="1"/>
  <c r="P55" i="1"/>
  <c r="O55" i="1"/>
  <c r="R54" i="1"/>
  <c r="Q54" i="1"/>
  <c r="Q78" i="1" s="1"/>
  <c r="P54" i="1"/>
  <c r="O54" i="1"/>
  <c r="S54" i="1" s="1"/>
  <c r="T54" i="1" s="1"/>
  <c r="R53" i="1"/>
  <c r="Q53" i="1"/>
  <c r="P53" i="1"/>
  <c r="O53" i="1"/>
  <c r="R52" i="1"/>
  <c r="Q52" i="1"/>
  <c r="Q77" i="1" s="1"/>
  <c r="P52" i="1"/>
  <c r="O52" i="1"/>
  <c r="S52" i="1" s="1"/>
  <c r="T52" i="1" s="1"/>
  <c r="R51" i="1"/>
  <c r="Q51" i="1"/>
  <c r="P51" i="1"/>
  <c r="O51" i="1"/>
  <c r="R50" i="1"/>
  <c r="Q50" i="1"/>
  <c r="Q76" i="1" s="1"/>
  <c r="P50" i="1"/>
  <c r="O50" i="1"/>
  <c r="O76" i="1" s="1"/>
  <c r="R49" i="1"/>
  <c r="Q49" i="1"/>
  <c r="P49" i="1"/>
  <c r="O49" i="1"/>
  <c r="R48" i="1"/>
  <c r="Q48" i="1"/>
  <c r="Q75" i="1" s="1"/>
  <c r="P48" i="1"/>
  <c r="O48" i="1"/>
  <c r="S48" i="1" s="1"/>
  <c r="T48" i="1" s="1"/>
  <c r="R47" i="1"/>
  <c r="Q47" i="1"/>
  <c r="P47" i="1"/>
  <c r="O47" i="1"/>
  <c r="R46" i="1"/>
  <c r="Q46" i="1"/>
  <c r="Q74" i="1" s="1"/>
  <c r="P46" i="1"/>
  <c r="O46" i="1"/>
  <c r="O74" i="1" s="1"/>
  <c r="H47" i="1"/>
  <c r="G47" i="1"/>
  <c r="F47" i="1"/>
  <c r="E47" i="1"/>
  <c r="H46" i="1"/>
  <c r="G46" i="1"/>
  <c r="G74" i="1" s="1"/>
  <c r="F46" i="1"/>
  <c r="E46" i="1"/>
  <c r="I46" i="1" s="1"/>
  <c r="J46" i="1" s="1"/>
  <c r="H61" i="1"/>
  <c r="G61" i="1"/>
  <c r="F61" i="1"/>
  <c r="E61" i="1"/>
  <c r="H60" i="1"/>
  <c r="G60" i="1"/>
  <c r="F60" i="1"/>
  <c r="F82" i="1" s="1"/>
  <c r="E60" i="1"/>
  <c r="H65" i="1"/>
  <c r="G65" i="1"/>
  <c r="F65" i="1"/>
  <c r="E65" i="1"/>
  <c r="H64" i="1"/>
  <c r="G64" i="1"/>
  <c r="F64" i="1"/>
  <c r="F84" i="1" s="1"/>
  <c r="E64" i="1"/>
  <c r="E84" i="1" s="1"/>
  <c r="H63" i="1"/>
  <c r="G63" i="1"/>
  <c r="F63" i="1"/>
  <c r="E63" i="1"/>
  <c r="H62" i="1"/>
  <c r="G62" i="1"/>
  <c r="F62" i="1"/>
  <c r="F83" i="1" s="1"/>
  <c r="E62" i="1"/>
  <c r="E83" i="1" s="1"/>
  <c r="H59" i="1"/>
  <c r="G59" i="1"/>
  <c r="F59" i="1"/>
  <c r="E59" i="1"/>
  <c r="H58" i="1"/>
  <c r="G58" i="1"/>
  <c r="F58" i="1"/>
  <c r="F81" i="1" s="1"/>
  <c r="E58" i="1"/>
  <c r="E81" i="1" s="1"/>
  <c r="H57" i="1"/>
  <c r="G57" i="1"/>
  <c r="F57" i="1"/>
  <c r="E57" i="1"/>
  <c r="H56" i="1"/>
  <c r="G56" i="1"/>
  <c r="F56" i="1"/>
  <c r="F80" i="1" s="1"/>
  <c r="E56" i="1"/>
  <c r="E80" i="1" s="1"/>
  <c r="H55" i="1"/>
  <c r="G55" i="1"/>
  <c r="F55" i="1"/>
  <c r="E55" i="1"/>
  <c r="H54" i="1"/>
  <c r="G54" i="1"/>
  <c r="F54" i="1"/>
  <c r="F78" i="1" s="1"/>
  <c r="E54" i="1"/>
  <c r="E78" i="1" s="1"/>
  <c r="H53" i="1"/>
  <c r="G53" i="1"/>
  <c r="F53" i="1"/>
  <c r="E53" i="1"/>
  <c r="H52" i="1"/>
  <c r="G52" i="1"/>
  <c r="F52" i="1"/>
  <c r="F77" i="1" s="1"/>
  <c r="E52" i="1"/>
  <c r="E77" i="1" s="1"/>
  <c r="H51" i="1"/>
  <c r="G51" i="1"/>
  <c r="F51" i="1"/>
  <c r="E51" i="1"/>
  <c r="H50" i="1"/>
  <c r="G50" i="1"/>
  <c r="F50" i="1"/>
  <c r="F76" i="1" s="1"/>
  <c r="E50" i="1"/>
  <c r="E76" i="1" s="1"/>
  <c r="H49" i="1"/>
  <c r="G49" i="1"/>
  <c r="F49" i="1"/>
  <c r="E49" i="1"/>
  <c r="H48" i="1"/>
  <c r="G48" i="1"/>
  <c r="F48" i="1"/>
  <c r="F75" i="1" s="1"/>
  <c r="E48" i="1"/>
  <c r="E75" i="1" s="1"/>
  <c r="S21" i="1"/>
  <c r="CR38" i="14" l="1"/>
  <c r="J38" i="14" s="1"/>
  <c r="CL38" i="14"/>
  <c r="CP103" i="13"/>
  <c r="CG103" i="13"/>
  <c r="CH103" i="13"/>
  <c r="CE103" i="13"/>
  <c r="CO103" i="13"/>
  <c r="CL103" i="13"/>
  <c r="CQ103" i="13"/>
  <c r="CL68" i="12"/>
  <c r="CO74" i="12"/>
  <c r="CP69" i="12"/>
  <c r="CP67" i="12"/>
  <c r="CM68" i="12"/>
  <c r="CQ74" i="12"/>
  <c r="CH67" i="12"/>
  <c r="CH36" i="14"/>
  <c r="CO69" i="12"/>
  <c r="CQ67" i="12"/>
  <c r="CL39" i="14"/>
  <c r="CH38" i="14"/>
  <c r="CG67" i="12"/>
  <c r="CE74" i="12"/>
  <c r="CP36" i="14"/>
  <c r="CI67" i="12"/>
  <c r="CR74" i="12"/>
  <c r="J74" i="12" s="1"/>
  <c r="CH69" i="12"/>
  <c r="CR66" i="12"/>
  <c r="J66" i="12" s="1"/>
  <c r="CJ103" i="13"/>
  <c r="CY103" i="13"/>
  <c r="DS103" i="13" s="1"/>
  <c r="CE69" i="12"/>
  <c r="CX112" i="13"/>
  <c r="DR112" i="13" s="1"/>
  <c r="CF112" i="13"/>
  <c r="CZ112" i="13"/>
  <c r="DT112" i="13" s="1"/>
  <c r="CK112" i="13"/>
  <c r="CP66" i="12"/>
  <c r="CL66" i="12"/>
  <c r="CR73" i="12"/>
  <c r="CS73" i="12" s="1"/>
  <c r="CH73" i="12"/>
  <c r="H75" i="12"/>
  <c r="I74" i="12"/>
  <c r="I115" i="13"/>
  <c r="CG41" i="14"/>
  <c r="CJ104" i="13"/>
  <c r="CY104" i="13"/>
  <c r="DS104" i="13" s="1"/>
  <c r="CI104" i="13"/>
  <c r="CZ72" i="12"/>
  <c r="DT72" i="12" s="1"/>
  <c r="CK72" i="12"/>
  <c r="CG72" i="12"/>
  <c r="CL37" i="14"/>
  <c r="CP37" i="14"/>
  <c r="CM108" i="13"/>
  <c r="CK114" i="13"/>
  <c r="CZ114" i="13"/>
  <c r="DT114" i="13" s="1"/>
  <c r="CE114" i="13"/>
  <c r="CY64" i="12"/>
  <c r="DS64" i="12" s="1"/>
  <c r="CJ64" i="12"/>
  <c r="CP64" i="12"/>
  <c r="CM17" i="15"/>
  <c r="CL17" i="15"/>
  <c r="CL36" i="14"/>
  <c r="DA36" i="14"/>
  <c r="DU36" i="14" s="1"/>
  <c r="CN36" i="14"/>
  <c r="CJ110" i="13"/>
  <c r="CY110" i="13"/>
  <c r="DS110" i="13" s="1"/>
  <c r="CQ65" i="12"/>
  <c r="CO65" i="12"/>
  <c r="DA74" i="12"/>
  <c r="DU74" i="12" s="1"/>
  <c r="CN74" i="12"/>
  <c r="CH74" i="12"/>
  <c r="CL115" i="13"/>
  <c r="CX115" i="13"/>
  <c r="DR115" i="13" s="1"/>
  <c r="CF115" i="13"/>
  <c r="CO113" i="13"/>
  <c r="CE113" i="13"/>
  <c r="CZ71" i="12"/>
  <c r="DT71" i="12" s="1"/>
  <c r="CK71" i="12"/>
  <c r="CL71" i="12"/>
  <c r="Y99" i="12"/>
  <c r="CQ99" i="12" s="1"/>
  <c r="Q99" i="12"/>
  <c r="CI99" i="12" s="1"/>
  <c r="X99" i="12"/>
  <c r="CP99" i="12" s="1"/>
  <c r="V99" i="12"/>
  <c r="O99" i="12"/>
  <c r="CG99" i="12" s="1"/>
  <c r="W99" i="12"/>
  <c r="CO99" i="12" s="1"/>
  <c r="P99" i="12"/>
  <c r="CH99" i="12" s="1"/>
  <c r="S99" i="12"/>
  <c r="T99" i="12"/>
  <c r="CL99" i="12" s="1"/>
  <c r="M99" i="12"/>
  <c r="CE99" i="12" s="1"/>
  <c r="U99" i="12"/>
  <c r="CM99" i="12" s="1"/>
  <c r="R99" i="12"/>
  <c r="Z99" i="12"/>
  <c r="CR99" i="12" s="1"/>
  <c r="CS99" i="12" s="1"/>
  <c r="N99" i="12"/>
  <c r="T90" i="12"/>
  <c r="CL90" i="12" s="1"/>
  <c r="S90" i="12"/>
  <c r="Z90" i="12"/>
  <c r="CR90" i="12" s="1"/>
  <c r="J90" i="12" s="1"/>
  <c r="R90" i="12"/>
  <c r="Y90" i="12"/>
  <c r="CQ90" i="12" s="1"/>
  <c r="Q90" i="12"/>
  <c r="CI90" i="12" s="1"/>
  <c r="X90" i="12"/>
  <c r="P90" i="12"/>
  <c r="CH90" i="12" s="1"/>
  <c r="W90" i="12"/>
  <c r="CO90" i="12" s="1"/>
  <c r="O90" i="12"/>
  <c r="CG90" i="12" s="1"/>
  <c r="V90" i="12"/>
  <c r="N90" i="12"/>
  <c r="U90" i="12"/>
  <c r="CM90" i="12" s="1"/>
  <c r="M90" i="12"/>
  <c r="CE90" i="12" s="1"/>
  <c r="T150" i="13"/>
  <c r="CL150" i="13" s="1"/>
  <c r="N150" i="13"/>
  <c r="P150" i="13"/>
  <c r="CH150" i="13" s="1"/>
  <c r="O150" i="13"/>
  <c r="CG150" i="13" s="1"/>
  <c r="S150" i="13"/>
  <c r="U150" i="13"/>
  <c r="CM150" i="13" s="1"/>
  <c r="Y150" i="13"/>
  <c r="CQ150" i="13" s="1"/>
  <c r="W150" i="13"/>
  <c r="CO150" i="13" s="1"/>
  <c r="R150" i="13"/>
  <c r="M150" i="13"/>
  <c r="CE150" i="13" s="1"/>
  <c r="Q150" i="13"/>
  <c r="CI150" i="13" s="1"/>
  <c r="Z150" i="13"/>
  <c r="CR150" i="13" s="1"/>
  <c r="J150" i="13" s="1"/>
  <c r="V150" i="13"/>
  <c r="X150" i="13"/>
  <c r="CP150" i="13" s="1"/>
  <c r="V156" i="13"/>
  <c r="Z156" i="13"/>
  <c r="CR156" i="13" s="1"/>
  <c r="CS156" i="13" s="1"/>
  <c r="N156" i="13"/>
  <c r="W156" i="13"/>
  <c r="CO156" i="13" s="1"/>
  <c r="T156" i="13"/>
  <c r="CL156" i="13" s="1"/>
  <c r="Q156" i="13"/>
  <c r="CI156" i="13" s="1"/>
  <c r="R156" i="13"/>
  <c r="O156" i="13"/>
  <c r="CG156" i="13" s="1"/>
  <c r="S156" i="13"/>
  <c r="X156" i="13"/>
  <c r="CP156" i="13" s="1"/>
  <c r="M156" i="13"/>
  <c r="CE156" i="13" s="1"/>
  <c r="P156" i="13"/>
  <c r="CH156" i="13" s="1"/>
  <c r="Y156" i="13"/>
  <c r="CQ156" i="13" s="1"/>
  <c r="U156" i="13"/>
  <c r="CM156" i="13" s="1"/>
  <c r="DA40" i="14"/>
  <c r="DU40" i="14" s="1"/>
  <c r="CN40" i="14"/>
  <c r="CR40" i="14"/>
  <c r="CR111" i="13"/>
  <c r="CS111" i="13" s="1"/>
  <c r="CX39" i="14"/>
  <c r="DR39" i="14" s="1"/>
  <c r="CF39" i="14"/>
  <c r="CP109" i="13"/>
  <c r="CK109" i="13"/>
  <c r="CZ109" i="13"/>
  <c r="DT109" i="13" s="1"/>
  <c r="CY70" i="12"/>
  <c r="DS70" i="12" s="1"/>
  <c r="CJ70" i="12"/>
  <c r="CI70" i="12"/>
  <c r="CN106" i="13"/>
  <c r="DA106" i="13"/>
  <c r="DU106" i="13" s="1"/>
  <c r="CO106" i="13"/>
  <c r="CL107" i="13"/>
  <c r="CO42" i="14"/>
  <c r="CI42" i="14"/>
  <c r="CH105" i="13"/>
  <c r="CQ105" i="13"/>
  <c r="CE63" i="12"/>
  <c r="CQ63" i="12"/>
  <c r="CG62" i="12"/>
  <c r="DA38" i="14"/>
  <c r="DU38" i="14" s="1"/>
  <c r="CN38" i="14"/>
  <c r="CF69" i="12"/>
  <c r="CX69" i="12"/>
  <c r="DR69" i="12" s="1"/>
  <c r="CI38" i="14"/>
  <c r="CH112" i="13"/>
  <c r="CG112" i="13"/>
  <c r="CY66" i="12"/>
  <c r="DS66" i="12" s="1"/>
  <c r="CJ66" i="12"/>
  <c r="CH66" i="12"/>
  <c r="CL73" i="12"/>
  <c r="CO104" i="13"/>
  <c r="CE104" i="13"/>
  <c r="CL72" i="12"/>
  <c r="CX72" i="12"/>
  <c r="DR72" i="12" s="1"/>
  <c r="CF72" i="12"/>
  <c r="CX67" i="12"/>
  <c r="DR67" i="12" s="1"/>
  <c r="CF67" i="12"/>
  <c r="CR37" i="14"/>
  <c r="J37" i="14" s="1"/>
  <c r="CE37" i="14"/>
  <c r="CJ108" i="13"/>
  <c r="CY108" i="13"/>
  <c r="DS108" i="13" s="1"/>
  <c r="CL114" i="13"/>
  <c r="CI114" i="13"/>
  <c r="CO64" i="12"/>
  <c r="CL64" i="12"/>
  <c r="CX17" i="15"/>
  <c r="DR17" i="15" s="1"/>
  <c r="CF17" i="15"/>
  <c r="CI17" i="15"/>
  <c r="CH110" i="13"/>
  <c r="CX110" i="13"/>
  <c r="DR110" i="13" s="1"/>
  <c r="CF110" i="13"/>
  <c r="CM65" i="12"/>
  <c r="CX65" i="12"/>
  <c r="DR65" i="12" s="1"/>
  <c r="CF65" i="12"/>
  <c r="CY74" i="12"/>
  <c r="DS74" i="12" s="1"/>
  <c r="DZ74" i="12" s="1"/>
  <c r="EE73" i="12" s="1"/>
  <c r="CJ74" i="12"/>
  <c r="CZ74" i="12"/>
  <c r="DT74" i="12" s="1"/>
  <c r="CK74" i="12"/>
  <c r="CS150" i="13"/>
  <c r="CG115" i="13"/>
  <c r="CP115" i="13"/>
  <c r="CR113" i="13"/>
  <c r="CS113" i="13" s="1"/>
  <c r="CP113" i="13"/>
  <c r="CP71" i="12"/>
  <c r="X92" i="12"/>
  <c r="CP92" i="12" s="1"/>
  <c r="V92" i="12"/>
  <c r="U92" i="12"/>
  <c r="CM92" i="12" s="1"/>
  <c r="T92" i="12"/>
  <c r="CL92" i="12" s="1"/>
  <c r="P92" i="12"/>
  <c r="CH92" i="12" s="1"/>
  <c r="N92" i="12"/>
  <c r="M92" i="12"/>
  <c r="CE92" i="12" s="1"/>
  <c r="Q92" i="12"/>
  <c r="CI92" i="12" s="1"/>
  <c r="Z92" i="12"/>
  <c r="CR92" i="12" s="1"/>
  <c r="J92" i="12" s="1"/>
  <c r="O92" i="12"/>
  <c r="CG92" i="12" s="1"/>
  <c r="Y92" i="12"/>
  <c r="CQ92" i="12" s="1"/>
  <c r="R92" i="12"/>
  <c r="W92" i="12"/>
  <c r="CO92" i="12" s="1"/>
  <c r="S92" i="12"/>
  <c r="W147" i="13"/>
  <c r="CO147" i="13" s="1"/>
  <c r="P147" i="13"/>
  <c r="CH147" i="13" s="1"/>
  <c r="O147" i="13"/>
  <c r="CG147" i="13" s="1"/>
  <c r="X147" i="13"/>
  <c r="CP147" i="13" s="1"/>
  <c r="Y147" i="13"/>
  <c r="CQ147" i="13" s="1"/>
  <c r="T147" i="13"/>
  <c r="CL147" i="13" s="1"/>
  <c r="Q147" i="13"/>
  <c r="CI147" i="13" s="1"/>
  <c r="U147" i="13"/>
  <c r="CM147" i="13" s="1"/>
  <c r="Z147" i="13"/>
  <c r="CR147" i="13" s="1"/>
  <c r="J147" i="13" s="1"/>
  <c r="V147" i="13"/>
  <c r="R147" i="13"/>
  <c r="M147" i="13"/>
  <c r="CE147" i="13" s="1"/>
  <c r="N147" i="13"/>
  <c r="S147" i="13"/>
  <c r="V154" i="13"/>
  <c r="Z154" i="13"/>
  <c r="CR154" i="13" s="1"/>
  <c r="CS154" i="13" s="1"/>
  <c r="O154" i="13"/>
  <c r="CG154" i="13" s="1"/>
  <c r="W154" i="13"/>
  <c r="CO154" i="13" s="1"/>
  <c r="S154" i="13"/>
  <c r="P154" i="13"/>
  <c r="CH154" i="13" s="1"/>
  <c r="T154" i="13"/>
  <c r="CL154" i="13" s="1"/>
  <c r="X154" i="13"/>
  <c r="CP154" i="13" s="1"/>
  <c r="U154" i="13"/>
  <c r="CM154" i="13" s="1"/>
  <c r="Y154" i="13"/>
  <c r="CQ154" i="13" s="1"/>
  <c r="M154" i="13"/>
  <c r="CE154" i="13" s="1"/>
  <c r="N154" i="13"/>
  <c r="Q154" i="13"/>
  <c r="CI154" i="13" s="1"/>
  <c r="R154" i="13"/>
  <c r="S81" i="14"/>
  <c r="W81" i="14"/>
  <c r="CO81" i="14" s="1"/>
  <c r="Z81" i="14"/>
  <c r="CR81" i="14" s="1"/>
  <c r="J81" i="14" s="1"/>
  <c r="O81" i="14"/>
  <c r="CG81" i="14" s="1"/>
  <c r="R81" i="14"/>
  <c r="M81" i="14"/>
  <c r="CE81" i="14" s="1"/>
  <c r="Y81" i="14"/>
  <c r="CQ81" i="14" s="1"/>
  <c r="V81" i="14"/>
  <c r="Q81" i="14"/>
  <c r="CI81" i="14" s="1"/>
  <c r="N81" i="14"/>
  <c r="U81" i="14"/>
  <c r="CM81" i="14" s="1"/>
  <c r="T81" i="14"/>
  <c r="CL81" i="14" s="1"/>
  <c r="P81" i="14"/>
  <c r="CH81" i="14" s="1"/>
  <c r="X81" i="14"/>
  <c r="CP81" i="14" s="1"/>
  <c r="CX40" i="14"/>
  <c r="DR40" i="14" s="1"/>
  <c r="CF40" i="14"/>
  <c r="CL111" i="13"/>
  <c r="CH111" i="13"/>
  <c r="DA39" i="14"/>
  <c r="DU39" i="14" s="1"/>
  <c r="CN39" i="14"/>
  <c r="CQ109" i="13"/>
  <c r="CH109" i="13"/>
  <c r="CR70" i="12"/>
  <c r="CS70" i="12" s="1"/>
  <c r="CP106" i="13"/>
  <c r="CR106" i="13"/>
  <c r="J106" i="13" s="1"/>
  <c r="CO107" i="13"/>
  <c r="DA42" i="14"/>
  <c r="DU42" i="14" s="1"/>
  <c r="CN42" i="14"/>
  <c r="CX42" i="14"/>
  <c r="DR42" i="14" s="1"/>
  <c r="CF42" i="14"/>
  <c r="CG105" i="13"/>
  <c r="CI105" i="13"/>
  <c r="CP63" i="12"/>
  <c r="DA63" i="12"/>
  <c r="CN63" i="12"/>
  <c r="CY62" i="12"/>
  <c r="DS62" i="12" s="1"/>
  <c r="CJ62" i="12"/>
  <c r="CM69" i="12"/>
  <c r="CP38" i="14"/>
  <c r="CQ38" i="14"/>
  <c r="CL112" i="13"/>
  <c r="CO112" i="13"/>
  <c r="CG66" i="12"/>
  <c r="CE66" i="12"/>
  <c r="CM73" i="12"/>
  <c r="CS103" i="13"/>
  <c r="CZ41" i="14"/>
  <c r="DT41" i="14" s="1"/>
  <c r="CK41" i="14"/>
  <c r="CM41" i="14"/>
  <c r="CN104" i="13"/>
  <c r="DA104" i="13"/>
  <c r="DU104" i="13" s="1"/>
  <c r="CP104" i="13"/>
  <c r="CE72" i="12"/>
  <c r="CO72" i="12"/>
  <c r="CG37" i="14"/>
  <c r="CR108" i="13"/>
  <c r="CS108" i="13" s="1"/>
  <c r="CG108" i="13"/>
  <c r="CN114" i="13"/>
  <c r="DA114" i="13"/>
  <c r="DU114" i="13" s="1"/>
  <c r="CO114" i="13"/>
  <c r="CH64" i="12"/>
  <c r="DA64" i="12"/>
  <c r="DU64" i="12" s="1"/>
  <c r="CN64" i="12"/>
  <c r="CE17" i="15"/>
  <c r="CP17" i="15"/>
  <c r="CG110" i="13"/>
  <c r="CQ110" i="13"/>
  <c r="CR65" i="12"/>
  <c r="CP65" i="12"/>
  <c r="CX74" i="12"/>
  <c r="DR74" i="12" s="1"/>
  <c r="CF74" i="12"/>
  <c r="CQ115" i="13"/>
  <c r="CM115" i="13"/>
  <c r="CG113" i="13"/>
  <c r="CL113" i="13"/>
  <c r="CH71" i="12"/>
  <c r="W89" i="12"/>
  <c r="CO89" i="12" s="1"/>
  <c r="T89" i="12"/>
  <c r="CL89" i="12" s="1"/>
  <c r="X89" i="12"/>
  <c r="CP89" i="12" s="1"/>
  <c r="O89" i="12"/>
  <c r="CG89" i="12" s="1"/>
  <c r="S89" i="12"/>
  <c r="M89" i="12"/>
  <c r="CE89" i="12" s="1"/>
  <c r="U89" i="12"/>
  <c r="CM89" i="12" s="1"/>
  <c r="N89" i="12"/>
  <c r="R89" i="12"/>
  <c r="V89" i="12"/>
  <c r="Z89" i="12"/>
  <c r="CR89" i="12" s="1"/>
  <c r="J89" i="12" s="1"/>
  <c r="Q89" i="12"/>
  <c r="CI89" i="12" s="1"/>
  <c r="P89" i="12"/>
  <c r="CH89" i="12" s="1"/>
  <c r="Y89" i="12"/>
  <c r="CQ89" i="12" s="1"/>
  <c r="M151" i="13"/>
  <c r="CE151" i="13" s="1"/>
  <c r="P151" i="13"/>
  <c r="CH151" i="13" s="1"/>
  <c r="U151" i="13"/>
  <c r="CM151" i="13" s="1"/>
  <c r="Y151" i="13"/>
  <c r="CQ151" i="13" s="1"/>
  <c r="Q151" i="13"/>
  <c r="CI151" i="13" s="1"/>
  <c r="T151" i="13"/>
  <c r="CL151" i="13" s="1"/>
  <c r="V151" i="13"/>
  <c r="Z151" i="13"/>
  <c r="CR151" i="13" s="1"/>
  <c r="CS151" i="13" s="1"/>
  <c r="W151" i="13"/>
  <c r="CO151" i="13" s="1"/>
  <c r="S151" i="13"/>
  <c r="O151" i="13"/>
  <c r="CG151" i="13" s="1"/>
  <c r="R151" i="13"/>
  <c r="N151" i="13"/>
  <c r="X151" i="13"/>
  <c r="CP151" i="13" s="1"/>
  <c r="V79" i="14"/>
  <c r="R79" i="14"/>
  <c r="N79" i="14"/>
  <c r="Q79" i="14"/>
  <c r="CI79" i="14" s="1"/>
  <c r="M79" i="14"/>
  <c r="CE79" i="14" s="1"/>
  <c r="P79" i="14"/>
  <c r="CH79" i="14" s="1"/>
  <c r="T79" i="14"/>
  <c r="CL79" i="14" s="1"/>
  <c r="W79" i="14"/>
  <c r="CO79" i="14" s="1"/>
  <c r="S79" i="14"/>
  <c r="O79" i="14"/>
  <c r="CG79" i="14" s="1"/>
  <c r="U79" i="14"/>
  <c r="CM79" i="14" s="1"/>
  <c r="Z79" i="14"/>
  <c r="CR79" i="14" s="1"/>
  <c r="J79" i="14" s="1"/>
  <c r="Y79" i="14"/>
  <c r="CQ79" i="14" s="1"/>
  <c r="X79" i="14"/>
  <c r="CP79" i="14" s="1"/>
  <c r="P85" i="14"/>
  <c r="CH85" i="14" s="1"/>
  <c r="S85" i="14"/>
  <c r="W85" i="14"/>
  <c r="CO85" i="14" s="1"/>
  <c r="U85" i="14"/>
  <c r="CM85" i="14" s="1"/>
  <c r="O85" i="14"/>
  <c r="CG85" i="14" s="1"/>
  <c r="Z85" i="14"/>
  <c r="CR85" i="14" s="1"/>
  <c r="CS85" i="14" s="1"/>
  <c r="M85" i="14"/>
  <c r="CE85" i="14" s="1"/>
  <c r="R85" i="14"/>
  <c r="V85" i="14"/>
  <c r="Y85" i="14"/>
  <c r="CQ85" i="14" s="1"/>
  <c r="N85" i="14"/>
  <c r="X85" i="14"/>
  <c r="CP85" i="14" s="1"/>
  <c r="Q85" i="14"/>
  <c r="CI85" i="14" s="1"/>
  <c r="T85" i="14"/>
  <c r="CL85" i="14" s="1"/>
  <c r="CM40" i="14"/>
  <c r="CG111" i="13"/>
  <c r="CQ111" i="13"/>
  <c r="CY39" i="14"/>
  <c r="DS39" i="14" s="1"/>
  <c r="CJ39" i="14"/>
  <c r="CG39" i="14"/>
  <c r="CN109" i="13"/>
  <c r="DA109" i="13"/>
  <c r="DU109" i="13" s="1"/>
  <c r="CY109" i="13"/>
  <c r="DS109" i="13" s="1"/>
  <c r="CJ109" i="13"/>
  <c r="CG70" i="12"/>
  <c r="CM106" i="13"/>
  <c r="CM107" i="13"/>
  <c r="CZ107" i="13"/>
  <c r="DT107" i="13" s="1"/>
  <c r="CK107" i="13"/>
  <c r="CM42" i="14"/>
  <c r="CP42" i="14"/>
  <c r="CL105" i="13"/>
  <c r="CX105" i="13"/>
  <c r="DR105" i="13" s="1"/>
  <c r="CF105" i="13"/>
  <c r="CX63" i="12"/>
  <c r="DR63" i="12" s="1"/>
  <c r="CF63" i="12"/>
  <c r="CZ62" i="12"/>
  <c r="DT62" i="12" s="1"/>
  <c r="CK62" i="12"/>
  <c r="CH62" i="12"/>
  <c r="CX38" i="14"/>
  <c r="CF38" i="14"/>
  <c r="CN69" i="12"/>
  <c r="DA69" i="12"/>
  <c r="DU69" i="12" s="1"/>
  <c r="CE38" i="14"/>
  <c r="CQ112" i="13"/>
  <c r="CJ112" i="13"/>
  <c r="CY112" i="13"/>
  <c r="DS112" i="13" s="1"/>
  <c r="CP73" i="12"/>
  <c r="CG73" i="12"/>
  <c r="H48" i="14"/>
  <c r="I48" i="14" s="1"/>
  <c r="CL41" i="14"/>
  <c r="CQ41" i="14"/>
  <c r="CG104" i="13"/>
  <c r="CL104" i="13"/>
  <c r="CM72" i="12"/>
  <c r="CI72" i="12"/>
  <c r="CI37" i="14"/>
  <c r="CQ108" i="13"/>
  <c r="DA108" i="13"/>
  <c r="DU108" i="13" s="1"/>
  <c r="CN108" i="13"/>
  <c r="CR114" i="13"/>
  <c r="CS114" i="13" s="1"/>
  <c r="CP114" i="13"/>
  <c r="CE64" i="12"/>
  <c r="CG64" i="12"/>
  <c r="CY17" i="15"/>
  <c r="DS17" i="15" s="1"/>
  <c r="CJ17" i="15"/>
  <c r="CO36" i="14"/>
  <c r="CY36" i="14"/>
  <c r="DS36" i="14" s="1"/>
  <c r="CJ36" i="14"/>
  <c r="CZ110" i="13"/>
  <c r="DT110" i="13" s="1"/>
  <c r="CK110" i="13"/>
  <c r="CM110" i="13"/>
  <c r="CL65" i="12"/>
  <c r="CH65" i="12"/>
  <c r="I158" i="13"/>
  <c r="Z116" i="13"/>
  <c r="CR115" i="13"/>
  <c r="J115" i="13" s="1"/>
  <c r="CO115" i="13"/>
  <c r="CY113" i="13"/>
  <c r="DS113" i="13" s="1"/>
  <c r="CJ113" i="13"/>
  <c r="CE71" i="12"/>
  <c r="CQ71" i="12"/>
  <c r="U94" i="12"/>
  <c r="CM94" i="12" s="1"/>
  <c r="M94" i="12"/>
  <c r="CE94" i="12" s="1"/>
  <c r="T94" i="12"/>
  <c r="CL94" i="12" s="1"/>
  <c r="S94" i="12"/>
  <c r="Z94" i="12"/>
  <c r="CR94" i="12" s="1"/>
  <c r="CS94" i="12" s="1"/>
  <c r="R94" i="12"/>
  <c r="Y94" i="12"/>
  <c r="CQ94" i="12" s="1"/>
  <c r="Q94" i="12"/>
  <c r="CI94" i="12" s="1"/>
  <c r="X94" i="12"/>
  <c r="CP94" i="12" s="1"/>
  <c r="P94" i="12"/>
  <c r="CH94" i="12" s="1"/>
  <c r="W94" i="12"/>
  <c r="CO94" i="12" s="1"/>
  <c r="O94" i="12"/>
  <c r="CG94" i="12" s="1"/>
  <c r="V94" i="12"/>
  <c r="N94" i="12"/>
  <c r="Y155" i="13"/>
  <c r="CQ155" i="13" s="1"/>
  <c r="R155" i="13"/>
  <c r="S155" i="13"/>
  <c r="T155" i="13"/>
  <c r="CL155" i="13" s="1"/>
  <c r="V155" i="13"/>
  <c r="U155" i="13"/>
  <c r="CM155" i="13" s="1"/>
  <c r="W155" i="13"/>
  <c r="CO155" i="13" s="1"/>
  <c r="M155" i="13"/>
  <c r="CE155" i="13" s="1"/>
  <c r="P155" i="13"/>
  <c r="CH155" i="13" s="1"/>
  <c r="Z155" i="13"/>
  <c r="CR155" i="13" s="1"/>
  <c r="CS155" i="13" s="1"/>
  <c r="X155" i="13"/>
  <c r="CP155" i="13" s="1"/>
  <c r="Q155" i="13"/>
  <c r="CI155" i="13" s="1"/>
  <c r="O155" i="13"/>
  <c r="CG155" i="13" s="1"/>
  <c r="N155" i="13"/>
  <c r="M83" i="14"/>
  <c r="CE83" i="14" s="1"/>
  <c r="Q83" i="14"/>
  <c r="CI83" i="14" s="1"/>
  <c r="T83" i="14"/>
  <c r="CL83" i="14" s="1"/>
  <c r="S83" i="14"/>
  <c r="W83" i="14"/>
  <c r="CO83" i="14" s="1"/>
  <c r="Z83" i="14"/>
  <c r="CR83" i="14" s="1"/>
  <c r="J83" i="14" s="1"/>
  <c r="O83" i="14"/>
  <c r="CG83" i="14" s="1"/>
  <c r="R83" i="14"/>
  <c r="V83" i="14"/>
  <c r="Y83" i="14"/>
  <c r="CQ83" i="14" s="1"/>
  <c r="U83" i="14"/>
  <c r="CM83" i="14" s="1"/>
  <c r="P83" i="14"/>
  <c r="CH83" i="14" s="1"/>
  <c r="N83" i="14"/>
  <c r="X83" i="14"/>
  <c r="CP83" i="14" s="1"/>
  <c r="V149" i="13"/>
  <c r="R149" i="13"/>
  <c r="O149" i="13"/>
  <c r="CG149" i="13" s="1"/>
  <c r="S149" i="13"/>
  <c r="W149" i="13"/>
  <c r="CO149" i="13" s="1"/>
  <c r="Z149" i="13"/>
  <c r="CR149" i="13" s="1"/>
  <c r="J149" i="13" s="1"/>
  <c r="P149" i="13"/>
  <c r="CH149" i="13" s="1"/>
  <c r="X149" i="13"/>
  <c r="CP149" i="13" s="1"/>
  <c r="M149" i="13"/>
  <c r="CE149" i="13" s="1"/>
  <c r="Q149" i="13"/>
  <c r="CI149" i="13" s="1"/>
  <c r="Y149" i="13"/>
  <c r="CQ149" i="13" s="1"/>
  <c r="T149" i="13"/>
  <c r="CL149" i="13" s="1"/>
  <c r="U149" i="13"/>
  <c r="CM149" i="13" s="1"/>
  <c r="N149" i="13"/>
  <c r="CP40" i="14"/>
  <c r="CI40" i="14"/>
  <c r="CY111" i="13"/>
  <c r="DS111" i="13" s="1"/>
  <c r="CJ111" i="13"/>
  <c r="CF111" i="13"/>
  <c r="CX111" i="13"/>
  <c r="DR111" i="13" s="1"/>
  <c r="CM39" i="14"/>
  <c r="CZ39" i="14"/>
  <c r="DT39" i="14" s="1"/>
  <c r="CK39" i="14"/>
  <c r="CI109" i="13"/>
  <c r="CX70" i="12"/>
  <c r="DR70" i="12" s="1"/>
  <c r="CF70" i="12"/>
  <c r="CH70" i="12"/>
  <c r="CE106" i="13"/>
  <c r="CQ107" i="13"/>
  <c r="CG107" i="13"/>
  <c r="CL42" i="14"/>
  <c r="CO105" i="13"/>
  <c r="CP105" i="13"/>
  <c r="CI63" i="12"/>
  <c r="DA62" i="12"/>
  <c r="DU62" i="12" s="1"/>
  <c r="CN62" i="12"/>
  <c r="CR62" i="12"/>
  <c r="J62" i="12" s="1"/>
  <c r="CK103" i="13"/>
  <c r="CZ103" i="13"/>
  <c r="DT103" i="13" s="1"/>
  <c r="CY38" i="14"/>
  <c r="DS38" i="14" s="1"/>
  <c r="CJ38" i="14"/>
  <c r="CY69" i="12"/>
  <c r="DS69" i="12" s="1"/>
  <c r="CJ69" i="12"/>
  <c r="CZ69" i="12"/>
  <c r="DT69" i="12" s="1"/>
  <c r="CK69" i="12"/>
  <c r="CZ68" i="12"/>
  <c r="DT68" i="12" s="1"/>
  <c r="CK68" i="12"/>
  <c r="CR36" i="14"/>
  <c r="J36" i="14" s="1"/>
  <c r="CP90" i="12"/>
  <c r="CM112" i="13"/>
  <c r="CR112" i="13"/>
  <c r="CS112" i="13" s="1"/>
  <c r="CI73" i="12"/>
  <c r="CX73" i="12"/>
  <c r="DR73" i="12" s="1"/>
  <c r="CF73" i="12"/>
  <c r="CI41" i="14"/>
  <c r="DA41" i="14"/>
  <c r="DU41" i="14" s="1"/>
  <c r="CN41" i="14"/>
  <c r="CZ104" i="13"/>
  <c r="DT104" i="13" s="1"/>
  <c r="CK104" i="13"/>
  <c r="CH104" i="13"/>
  <c r="CY72" i="12"/>
  <c r="DS72" i="12" s="1"/>
  <c r="CJ72" i="12"/>
  <c r="CZ67" i="12"/>
  <c r="DT67" i="12" s="1"/>
  <c r="CK67" i="12"/>
  <c r="CH37" i="14"/>
  <c r="CX37" i="14"/>
  <c r="DR37" i="14" s="1"/>
  <c r="CF37" i="14"/>
  <c r="CP108" i="13"/>
  <c r="CH108" i="13"/>
  <c r="CM114" i="13"/>
  <c r="CG114" i="13"/>
  <c r="CX64" i="12"/>
  <c r="DR64" i="12" s="1"/>
  <c r="CF64" i="12"/>
  <c r="CR17" i="15"/>
  <c r="CX36" i="14"/>
  <c r="DR36" i="14" s="1"/>
  <c r="CF36" i="14"/>
  <c r="CL110" i="13"/>
  <c r="CI110" i="13"/>
  <c r="DA65" i="12"/>
  <c r="DU65" i="12" s="1"/>
  <c r="CN65" i="12"/>
  <c r="CI65" i="12"/>
  <c r="CS89" i="12"/>
  <c r="H86" i="14"/>
  <c r="I86" i="14" s="1"/>
  <c r="CI115" i="13"/>
  <c r="CE115" i="13"/>
  <c r="CF113" i="13"/>
  <c r="CX113" i="13"/>
  <c r="DR113" i="13" s="1"/>
  <c r="CM71" i="12"/>
  <c r="CO71" i="12"/>
  <c r="C101" i="12"/>
  <c r="N100" i="12"/>
  <c r="P100" i="12"/>
  <c r="CH100" i="12" s="1"/>
  <c r="R100" i="12"/>
  <c r="Y100" i="12"/>
  <c r="CQ100" i="12" s="1"/>
  <c r="X100" i="12"/>
  <c r="CP100" i="12" s="1"/>
  <c r="U100" i="12"/>
  <c r="CM100" i="12" s="1"/>
  <c r="W100" i="12"/>
  <c r="CO100" i="12" s="1"/>
  <c r="S100" i="12"/>
  <c r="T100" i="12"/>
  <c r="CL100" i="12" s="1"/>
  <c r="Z100" i="12"/>
  <c r="CR100" i="12" s="1"/>
  <c r="M100" i="12"/>
  <c r="CE100" i="12" s="1"/>
  <c r="V100" i="12"/>
  <c r="O100" i="12"/>
  <c r="CG100" i="12" s="1"/>
  <c r="Q100" i="12"/>
  <c r="CI100" i="12" s="1"/>
  <c r="Z97" i="12"/>
  <c r="CR97" i="12" s="1"/>
  <c r="CS97" i="12" s="1"/>
  <c r="O97" i="12"/>
  <c r="CG97" i="12" s="1"/>
  <c r="N97" i="12"/>
  <c r="W97" i="12"/>
  <c r="CO97" i="12" s="1"/>
  <c r="V97" i="12"/>
  <c r="Q97" i="12"/>
  <c r="CI97" i="12" s="1"/>
  <c r="M97" i="12"/>
  <c r="CE97" i="12" s="1"/>
  <c r="Y97" i="12"/>
  <c r="CQ97" i="12" s="1"/>
  <c r="S97" i="12"/>
  <c r="T97" i="12"/>
  <c r="CL97" i="12" s="1"/>
  <c r="P97" i="12"/>
  <c r="CH97" i="12" s="1"/>
  <c r="U97" i="12"/>
  <c r="CM97" i="12" s="1"/>
  <c r="X97" i="12"/>
  <c r="CP97" i="12" s="1"/>
  <c r="R97" i="12"/>
  <c r="N148" i="13"/>
  <c r="V148" i="13"/>
  <c r="R148" i="13"/>
  <c r="O148" i="13"/>
  <c r="CG148" i="13" s="1"/>
  <c r="Z148" i="13"/>
  <c r="CR148" i="13" s="1"/>
  <c r="J148" i="13" s="1"/>
  <c r="W148" i="13"/>
  <c r="CO148" i="13" s="1"/>
  <c r="T148" i="13"/>
  <c r="CL148" i="13" s="1"/>
  <c r="Y148" i="13"/>
  <c r="CQ148" i="13" s="1"/>
  <c r="M148" i="13"/>
  <c r="CE148" i="13" s="1"/>
  <c r="P148" i="13"/>
  <c r="CH148" i="13" s="1"/>
  <c r="S148" i="13"/>
  <c r="U148" i="13"/>
  <c r="CM148" i="13" s="1"/>
  <c r="Q148" i="13"/>
  <c r="CI148" i="13" s="1"/>
  <c r="X148" i="13"/>
  <c r="CP148" i="13" s="1"/>
  <c r="X80" i="14"/>
  <c r="CP80" i="14" s="1"/>
  <c r="M80" i="14"/>
  <c r="CE80" i="14" s="1"/>
  <c r="P80" i="14"/>
  <c r="CH80" i="14" s="1"/>
  <c r="T80" i="14"/>
  <c r="CL80" i="14" s="1"/>
  <c r="S80" i="14"/>
  <c r="Z80" i="14"/>
  <c r="CR80" i="14" s="1"/>
  <c r="W80" i="14"/>
  <c r="CO80" i="14" s="1"/>
  <c r="R80" i="14"/>
  <c r="O80" i="14"/>
  <c r="CG80" i="14" s="1"/>
  <c r="V80" i="14"/>
  <c r="Q80" i="14"/>
  <c r="CI80" i="14" s="1"/>
  <c r="U80" i="14"/>
  <c r="CM80" i="14" s="1"/>
  <c r="Y80" i="14"/>
  <c r="CQ80" i="14" s="1"/>
  <c r="N80" i="14"/>
  <c r="W60" i="15"/>
  <c r="CO60" i="15" s="1"/>
  <c r="O60" i="15"/>
  <c r="CG60" i="15" s="1"/>
  <c r="V60" i="15"/>
  <c r="N60" i="15"/>
  <c r="U60" i="15"/>
  <c r="CM60" i="15" s="1"/>
  <c r="M60" i="15"/>
  <c r="CE60" i="15" s="1"/>
  <c r="T60" i="15"/>
  <c r="CL60" i="15" s="1"/>
  <c r="S60" i="15"/>
  <c r="Y60" i="15"/>
  <c r="CQ60" i="15" s="1"/>
  <c r="Z60" i="15"/>
  <c r="CR60" i="15" s="1"/>
  <c r="R60" i="15"/>
  <c r="Q60" i="15"/>
  <c r="CI60" i="15" s="1"/>
  <c r="X60" i="15"/>
  <c r="CP60" i="15" s="1"/>
  <c r="P60" i="15"/>
  <c r="CH60" i="15" s="1"/>
  <c r="W153" i="13"/>
  <c r="CO153" i="13" s="1"/>
  <c r="T153" i="13"/>
  <c r="CL153" i="13" s="1"/>
  <c r="P153" i="13"/>
  <c r="CH153" i="13" s="1"/>
  <c r="M153" i="13"/>
  <c r="CE153" i="13" s="1"/>
  <c r="X153" i="13"/>
  <c r="CP153" i="13" s="1"/>
  <c r="R153" i="13"/>
  <c r="V153" i="13"/>
  <c r="O153" i="13"/>
  <c r="CG153" i="13" s="1"/>
  <c r="Q153" i="13"/>
  <c r="CI153" i="13" s="1"/>
  <c r="Y153" i="13"/>
  <c r="CQ153" i="13" s="1"/>
  <c r="S153" i="13"/>
  <c r="U153" i="13"/>
  <c r="CM153" i="13" s="1"/>
  <c r="Z153" i="13"/>
  <c r="CR153" i="13" s="1"/>
  <c r="CS153" i="13" s="1"/>
  <c r="N153" i="13"/>
  <c r="CQ40" i="14"/>
  <c r="CE40" i="14"/>
  <c r="CN111" i="13"/>
  <c r="DA111" i="13"/>
  <c r="DU111" i="13" s="1"/>
  <c r="CI111" i="13"/>
  <c r="CP39" i="14"/>
  <c r="CO39" i="14"/>
  <c r="CM109" i="13"/>
  <c r="CZ70" i="12"/>
  <c r="DT70" i="12" s="1"/>
  <c r="CK70" i="12"/>
  <c r="CM70" i="12"/>
  <c r="CG106" i="13"/>
  <c r="CQ106" i="13"/>
  <c r="CH107" i="13"/>
  <c r="CR107" i="13"/>
  <c r="J107" i="13" s="1"/>
  <c r="CQ42" i="14"/>
  <c r="Z43" i="14"/>
  <c r="CR42" i="14"/>
  <c r="CS42" i="14" s="1"/>
  <c r="CR105" i="13"/>
  <c r="J105" i="13" s="1"/>
  <c r="CL63" i="12"/>
  <c r="CH63" i="12"/>
  <c r="CL62" i="12"/>
  <c r="CX62" i="12"/>
  <c r="DR62" i="12" s="1"/>
  <c r="DY62" i="12" s="1"/>
  <c r="CF62" i="12"/>
  <c r="CN103" i="13"/>
  <c r="DA103" i="13"/>
  <c r="DU103" i="13" s="1"/>
  <c r="CR69" i="12"/>
  <c r="CS69" i="12" s="1"/>
  <c r="CG69" i="12"/>
  <c r="CX68" i="12"/>
  <c r="DR68" i="12" s="1"/>
  <c r="CF68" i="12"/>
  <c r="CY68" i="12"/>
  <c r="DS68" i="12" s="1"/>
  <c r="CJ68" i="12"/>
  <c r="CE36" i="14"/>
  <c r="CE112" i="13"/>
  <c r="DA66" i="12"/>
  <c r="DU66" i="12" s="1"/>
  <c r="CN66" i="12"/>
  <c r="CQ66" i="12"/>
  <c r="CQ73" i="12"/>
  <c r="CO73" i="12"/>
  <c r="CS105" i="13"/>
  <c r="CP41" i="14"/>
  <c r="CE41" i="14"/>
  <c r="CF104" i="13"/>
  <c r="CX104" i="13"/>
  <c r="DR104" i="13" s="1"/>
  <c r="DY104" i="13" s="1"/>
  <c r="ED104" i="13" s="1"/>
  <c r="CR104" i="13"/>
  <c r="J104" i="13" s="1"/>
  <c r="CP72" i="12"/>
  <c r="CR67" i="12"/>
  <c r="CS67" i="12" s="1"/>
  <c r="CE67" i="12"/>
  <c r="CM37" i="14"/>
  <c r="CQ37" i="14"/>
  <c r="CK108" i="13"/>
  <c r="CZ108" i="13"/>
  <c r="DT108" i="13" s="1"/>
  <c r="CX108" i="13"/>
  <c r="DR108" i="13" s="1"/>
  <c r="CF108" i="13"/>
  <c r="CJ114" i="13"/>
  <c r="CY114" i="13"/>
  <c r="DS114" i="13" s="1"/>
  <c r="CH114" i="13"/>
  <c r="CQ64" i="12"/>
  <c r="CO17" i="15"/>
  <c r="CQ17" i="15"/>
  <c r="CZ36" i="14"/>
  <c r="DT36" i="14" s="1"/>
  <c r="CK36" i="14"/>
  <c r="CO110" i="13"/>
  <c r="CE110" i="13"/>
  <c r="CY65" i="12"/>
  <c r="DS65" i="12" s="1"/>
  <c r="CJ65" i="12"/>
  <c r="CL74" i="12"/>
  <c r="CI74" i="12"/>
  <c r="CS90" i="12"/>
  <c r="CS83" i="14"/>
  <c r="CY115" i="13"/>
  <c r="DS115" i="13" s="1"/>
  <c r="CJ115" i="13"/>
  <c r="CQ113" i="13"/>
  <c r="CI113" i="13"/>
  <c r="CF71" i="12"/>
  <c r="CX71" i="12"/>
  <c r="DR71" i="12" s="1"/>
  <c r="CG71" i="12"/>
  <c r="Y91" i="12"/>
  <c r="CQ91" i="12" s="1"/>
  <c r="N91" i="12"/>
  <c r="W91" i="12"/>
  <c r="CO91" i="12" s="1"/>
  <c r="X91" i="12"/>
  <c r="CP91" i="12" s="1"/>
  <c r="M91" i="12"/>
  <c r="CE91" i="12" s="1"/>
  <c r="V91" i="12"/>
  <c r="U91" i="12"/>
  <c r="CM91" i="12" s="1"/>
  <c r="R91" i="12"/>
  <c r="Q91" i="12"/>
  <c r="CI91" i="12" s="1"/>
  <c r="P91" i="12"/>
  <c r="CH91" i="12" s="1"/>
  <c r="Z91" i="12"/>
  <c r="CR91" i="12" s="1"/>
  <c r="O91" i="12"/>
  <c r="CG91" i="12" s="1"/>
  <c r="T91" i="12"/>
  <c r="CL91" i="12" s="1"/>
  <c r="S91" i="12"/>
  <c r="U98" i="12"/>
  <c r="CM98" i="12" s="1"/>
  <c r="M98" i="12"/>
  <c r="CE98" i="12" s="1"/>
  <c r="T98" i="12"/>
  <c r="CL98" i="12" s="1"/>
  <c r="S98" i="12"/>
  <c r="Z98" i="12"/>
  <c r="CR98" i="12" s="1"/>
  <c r="CS98" i="12" s="1"/>
  <c r="R98" i="12"/>
  <c r="Y98" i="12"/>
  <c r="CQ98" i="12" s="1"/>
  <c r="Q98" i="12"/>
  <c r="CI98" i="12" s="1"/>
  <c r="X98" i="12"/>
  <c r="CP98" i="12" s="1"/>
  <c r="P98" i="12"/>
  <c r="CH98" i="12" s="1"/>
  <c r="W98" i="12"/>
  <c r="CO98" i="12" s="1"/>
  <c r="O98" i="12"/>
  <c r="CG98" i="12" s="1"/>
  <c r="V98" i="12"/>
  <c r="N98" i="12"/>
  <c r="Y152" i="13"/>
  <c r="CQ152" i="13" s="1"/>
  <c r="U152" i="13"/>
  <c r="CM152" i="13" s="1"/>
  <c r="O152" i="13"/>
  <c r="CG152" i="13" s="1"/>
  <c r="M152" i="13"/>
  <c r="CE152" i="13" s="1"/>
  <c r="X152" i="13"/>
  <c r="CP152" i="13" s="1"/>
  <c r="V152" i="13"/>
  <c r="P152" i="13"/>
  <c r="CH152" i="13" s="1"/>
  <c r="N152" i="13"/>
  <c r="Z152" i="13"/>
  <c r="CR152" i="13" s="1"/>
  <c r="CS152" i="13" s="1"/>
  <c r="W152" i="13"/>
  <c r="CO152" i="13" s="1"/>
  <c r="R152" i="13"/>
  <c r="Q152" i="13"/>
  <c r="CI152" i="13" s="1"/>
  <c r="S152" i="13"/>
  <c r="T152" i="13"/>
  <c r="CL152" i="13" s="1"/>
  <c r="Y84" i="14"/>
  <c r="CQ84" i="14" s="1"/>
  <c r="N84" i="14"/>
  <c r="Q84" i="14"/>
  <c r="CI84" i="14" s="1"/>
  <c r="U84" i="14"/>
  <c r="CM84" i="14" s="1"/>
  <c r="X84" i="14"/>
  <c r="CP84" i="14" s="1"/>
  <c r="M84" i="14"/>
  <c r="CE84" i="14" s="1"/>
  <c r="P84" i="14"/>
  <c r="CH84" i="14" s="1"/>
  <c r="T84" i="14"/>
  <c r="CL84" i="14" s="1"/>
  <c r="S84" i="14"/>
  <c r="Z84" i="14"/>
  <c r="CR84" i="14" s="1"/>
  <c r="CS84" i="14" s="1"/>
  <c r="W84" i="14"/>
  <c r="CO84" i="14" s="1"/>
  <c r="R84" i="14"/>
  <c r="V84" i="14"/>
  <c r="O84" i="14"/>
  <c r="CG84" i="14" s="1"/>
  <c r="Z157" i="13"/>
  <c r="CR157" i="13" s="1"/>
  <c r="CS157" i="13" s="1"/>
  <c r="V157" i="13"/>
  <c r="S157" i="13"/>
  <c r="O157" i="13"/>
  <c r="CG157" i="13" s="1"/>
  <c r="T157" i="13"/>
  <c r="CL157" i="13" s="1"/>
  <c r="W157" i="13"/>
  <c r="CO157" i="13" s="1"/>
  <c r="X157" i="13"/>
  <c r="CP157" i="13" s="1"/>
  <c r="M157" i="13"/>
  <c r="CE157" i="13" s="1"/>
  <c r="Q157" i="13"/>
  <c r="CI157" i="13" s="1"/>
  <c r="U157" i="13"/>
  <c r="CM157" i="13" s="1"/>
  <c r="P157" i="13"/>
  <c r="CH157" i="13" s="1"/>
  <c r="N157" i="13"/>
  <c r="Y157" i="13"/>
  <c r="CQ157" i="13" s="1"/>
  <c r="R157" i="13"/>
  <c r="CL40" i="14"/>
  <c r="CH40" i="14"/>
  <c r="CP111" i="13"/>
  <c r="CM111" i="13"/>
  <c r="CE39" i="14"/>
  <c r="CR109" i="13"/>
  <c r="CS109" i="13" s="1"/>
  <c r="CE109" i="13"/>
  <c r="DA70" i="12"/>
  <c r="DU70" i="12" s="1"/>
  <c r="CN70" i="12"/>
  <c r="CP70" i="12"/>
  <c r="CF106" i="13"/>
  <c r="CX106" i="13"/>
  <c r="DR106" i="13" s="1"/>
  <c r="CL106" i="13"/>
  <c r="CI107" i="13"/>
  <c r="DA107" i="13"/>
  <c r="DU107" i="13" s="1"/>
  <c r="CN107" i="13"/>
  <c r="CH42" i="14"/>
  <c r="CZ42" i="14"/>
  <c r="DT42" i="14" s="1"/>
  <c r="CK42" i="14"/>
  <c r="CM105" i="13"/>
  <c r="CR63" i="12"/>
  <c r="J63" i="12" s="1"/>
  <c r="CG63" i="12"/>
  <c r="CQ62" i="12"/>
  <c r="CP62" i="12"/>
  <c r="DR38" i="14"/>
  <c r="CZ38" i="14"/>
  <c r="DT38" i="14" s="1"/>
  <c r="CK38" i="14"/>
  <c r="CI69" i="12"/>
  <c r="CG38" i="14"/>
  <c r="CN112" i="13"/>
  <c r="DA112" i="13"/>
  <c r="DU112" i="13" s="1"/>
  <c r="CM66" i="12"/>
  <c r="CO66" i="12"/>
  <c r="CY73" i="12"/>
  <c r="DS73" i="12" s="1"/>
  <c r="CJ73" i="12"/>
  <c r="CN73" i="12"/>
  <c r="DA73" i="12"/>
  <c r="DU73" i="12" s="1"/>
  <c r="CS106" i="13"/>
  <c r="CH41" i="14"/>
  <c r="CF41" i="14"/>
  <c r="CX41" i="14"/>
  <c r="DR41" i="14" s="1"/>
  <c r="CQ104" i="13"/>
  <c r="CR72" i="12"/>
  <c r="CS72" i="12" s="1"/>
  <c r="DA72" i="12"/>
  <c r="DU72" i="12" s="1"/>
  <c r="CN72" i="12"/>
  <c r="CY67" i="12"/>
  <c r="DS67" i="12" s="1"/>
  <c r="DZ67" i="12" s="1"/>
  <c r="EE67" i="12" s="1"/>
  <c r="CJ67" i="12"/>
  <c r="CY37" i="14"/>
  <c r="DS37" i="14" s="1"/>
  <c r="CJ37" i="14"/>
  <c r="DA37" i="14"/>
  <c r="DU37" i="14" s="1"/>
  <c r="CN37" i="14"/>
  <c r="CO108" i="13"/>
  <c r="CE108" i="13"/>
  <c r="CX114" i="13"/>
  <c r="DR114" i="13" s="1"/>
  <c r="DY114" i="13" s="1"/>
  <c r="ED114" i="13" s="1"/>
  <c r="CF114" i="13"/>
  <c r="CR64" i="12"/>
  <c r="CI64" i="12"/>
  <c r="CZ17" i="15"/>
  <c r="DT17" i="15" s="1"/>
  <c r="CK17" i="15"/>
  <c r="CG17" i="15"/>
  <c r="CG36" i="14"/>
  <c r="CI36" i="14"/>
  <c r="CR110" i="13"/>
  <c r="CS110" i="13" s="1"/>
  <c r="CP110" i="13"/>
  <c r="CE65" i="12"/>
  <c r="CG74" i="12"/>
  <c r="H101" i="12"/>
  <c r="CS147" i="13"/>
  <c r="CK115" i="13"/>
  <c r="CZ115" i="13"/>
  <c r="DT115" i="13" s="1"/>
  <c r="CH113" i="13"/>
  <c r="CM113" i="13"/>
  <c r="CN71" i="12"/>
  <c r="DA71" i="12"/>
  <c r="DU71" i="12" s="1"/>
  <c r="CR71" i="12"/>
  <c r="CS71" i="12" s="1"/>
  <c r="V96" i="12"/>
  <c r="S96" i="12"/>
  <c r="N96" i="12"/>
  <c r="Z96" i="12"/>
  <c r="CR96" i="12" s="1"/>
  <c r="CS96" i="12" s="1"/>
  <c r="Q96" i="12"/>
  <c r="CI96" i="12" s="1"/>
  <c r="Y96" i="12"/>
  <c r="CQ96" i="12" s="1"/>
  <c r="X96" i="12"/>
  <c r="CP96" i="12" s="1"/>
  <c r="O96" i="12"/>
  <c r="CG96" i="12" s="1"/>
  <c r="P96" i="12"/>
  <c r="CH96" i="12" s="1"/>
  <c r="M96" i="12"/>
  <c r="CE96" i="12" s="1"/>
  <c r="W96" i="12"/>
  <c r="CO96" i="12" s="1"/>
  <c r="T96" i="12"/>
  <c r="CL96" i="12" s="1"/>
  <c r="U96" i="12"/>
  <c r="CM96" i="12" s="1"/>
  <c r="R96" i="12"/>
  <c r="V88" i="12"/>
  <c r="U88" i="12"/>
  <c r="CM88" i="12" s="1"/>
  <c r="T88" i="12"/>
  <c r="CL88" i="12" s="1"/>
  <c r="S88" i="12"/>
  <c r="N88" i="12"/>
  <c r="M88" i="12"/>
  <c r="CE88" i="12" s="1"/>
  <c r="Z88" i="12"/>
  <c r="CR88" i="12" s="1"/>
  <c r="J88" i="12" s="1"/>
  <c r="W88" i="12"/>
  <c r="CO88" i="12" s="1"/>
  <c r="O88" i="12"/>
  <c r="CG88" i="12" s="1"/>
  <c r="P88" i="12"/>
  <c r="CH88" i="12" s="1"/>
  <c r="X88" i="12"/>
  <c r="CP88" i="12" s="1"/>
  <c r="Q88" i="12"/>
  <c r="CI88" i="12" s="1"/>
  <c r="R88" i="12"/>
  <c r="Y88" i="12"/>
  <c r="CQ88" i="12" s="1"/>
  <c r="S146" i="13"/>
  <c r="Z146" i="13"/>
  <c r="CR146" i="13" s="1"/>
  <c r="J146" i="13" s="1"/>
  <c r="W146" i="13"/>
  <c r="CO146" i="13" s="1"/>
  <c r="R146" i="13"/>
  <c r="U146" i="13"/>
  <c r="CM146" i="13" s="1"/>
  <c r="M146" i="13"/>
  <c r="CE146" i="13" s="1"/>
  <c r="P146" i="13"/>
  <c r="CH146" i="13" s="1"/>
  <c r="O146" i="13"/>
  <c r="CG146" i="13" s="1"/>
  <c r="Y146" i="13"/>
  <c r="CQ146" i="13" s="1"/>
  <c r="X146" i="13"/>
  <c r="CP146" i="13" s="1"/>
  <c r="T146" i="13"/>
  <c r="CL146" i="13" s="1"/>
  <c r="Q146" i="13"/>
  <c r="CI146" i="13" s="1"/>
  <c r="V146" i="13"/>
  <c r="N146" i="13"/>
  <c r="R82" i="14"/>
  <c r="W82" i="14"/>
  <c r="CO82" i="14" s="1"/>
  <c r="U82" i="14"/>
  <c r="CM82" i="14" s="1"/>
  <c r="Y82" i="14"/>
  <c r="CQ82" i="14" s="1"/>
  <c r="M82" i="14"/>
  <c r="CE82" i="14" s="1"/>
  <c r="Q82" i="14"/>
  <c r="CI82" i="14" s="1"/>
  <c r="O82" i="14"/>
  <c r="CG82" i="14" s="1"/>
  <c r="X82" i="14"/>
  <c r="CP82" i="14" s="1"/>
  <c r="T82" i="14"/>
  <c r="CL82" i="14" s="1"/>
  <c r="P82" i="14"/>
  <c r="CH82" i="14" s="1"/>
  <c r="Z82" i="14"/>
  <c r="CR82" i="14" s="1"/>
  <c r="J82" i="14" s="1"/>
  <c r="N82" i="14"/>
  <c r="S82" i="14"/>
  <c r="V82" i="14"/>
  <c r="CO40" i="14"/>
  <c r="CY40" i="14"/>
  <c r="DS40" i="14" s="1"/>
  <c r="CJ40" i="14"/>
  <c r="CK111" i="13"/>
  <c r="CZ111" i="13"/>
  <c r="DT111" i="13" s="1"/>
  <c r="CE111" i="13"/>
  <c r="CR39" i="14"/>
  <c r="J39" i="14" s="1"/>
  <c r="CG109" i="13"/>
  <c r="CL109" i="13"/>
  <c r="CL70" i="12"/>
  <c r="CE70" i="12"/>
  <c r="CJ106" i="13"/>
  <c r="CY106" i="13"/>
  <c r="DS106" i="13" s="1"/>
  <c r="CI106" i="13"/>
  <c r="CE107" i="13"/>
  <c r="CJ107" i="13"/>
  <c r="CY107" i="13"/>
  <c r="DS107" i="13" s="1"/>
  <c r="DZ107" i="13" s="1"/>
  <c r="EE107" i="13" s="1"/>
  <c r="CY42" i="14"/>
  <c r="DS42" i="14" s="1"/>
  <c r="DZ42" i="14" s="1"/>
  <c r="EE42" i="14" s="1"/>
  <c r="CJ42" i="14"/>
  <c r="DA105" i="13"/>
  <c r="DU105" i="13" s="1"/>
  <c r="CN105" i="13"/>
  <c r="CY105" i="13"/>
  <c r="DS105" i="13" s="1"/>
  <c r="CJ105" i="13"/>
  <c r="CZ63" i="12"/>
  <c r="DT63" i="12" s="1"/>
  <c r="CK63" i="12"/>
  <c r="CM63" i="12"/>
  <c r="CE62" i="12"/>
  <c r="CO62" i="12"/>
  <c r="CX103" i="13"/>
  <c r="DR103" i="13" s="1"/>
  <c r="CF103" i="13"/>
  <c r="CQ69" i="12"/>
  <c r="CL69" i="12"/>
  <c r="DA68" i="12"/>
  <c r="DU68" i="12" s="1"/>
  <c r="CN68" i="12"/>
  <c r="CO38" i="14"/>
  <c r="CP112" i="13"/>
  <c r="CI112" i="13"/>
  <c r="CX66" i="12"/>
  <c r="DR66" i="12" s="1"/>
  <c r="CF66" i="12"/>
  <c r="CZ66" i="12"/>
  <c r="DT66" i="12" s="1"/>
  <c r="CK66" i="12"/>
  <c r="CZ73" i="12"/>
  <c r="DT73" i="12" s="1"/>
  <c r="CK73" i="12"/>
  <c r="CE73" i="12"/>
  <c r="CQ39" i="14"/>
  <c r="CO41" i="14"/>
  <c r="CY41" i="14"/>
  <c r="DS41" i="14" s="1"/>
  <c r="DZ41" i="14" s="1"/>
  <c r="EE41" i="14" s="1"/>
  <c r="CJ41" i="14"/>
  <c r="CM104" i="13"/>
  <c r="CQ72" i="12"/>
  <c r="CH72" i="12"/>
  <c r="DA67" i="12"/>
  <c r="DU67" i="12" s="1"/>
  <c r="CN67" i="12"/>
  <c r="CZ37" i="14"/>
  <c r="DT37" i="14" s="1"/>
  <c r="CK37" i="14"/>
  <c r="CO37" i="14"/>
  <c r="CI108" i="13"/>
  <c r="CL108" i="13"/>
  <c r="CQ114" i="13"/>
  <c r="CZ64" i="12"/>
  <c r="DT64" i="12" s="1"/>
  <c r="CK64" i="12"/>
  <c r="CM64" i="12"/>
  <c r="DU63" i="12"/>
  <c r="DA17" i="15"/>
  <c r="DU17" i="15" s="1"/>
  <c r="CN17" i="15"/>
  <c r="CH17" i="15"/>
  <c r="CM36" i="14"/>
  <c r="CQ36" i="14"/>
  <c r="DA110" i="13"/>
  <c r="DU110" i="13" s="1"/>
  <c r="CN110" i="13"/>
  <c r="CZ65" i="12"/>
  <c r="DT65" i="12" s="1"/>
  <c r="CK65" i="12"/>
  <c r="CG65" i="12"/>
  <c r="CS149" i="13"/>
  <c r="CS148" i="13"/>
  <c r="CH115" i="13"/>
  <c r="DA115" i="13"/>
  <c r="DU115" i="13" s="1"/>
  <c r="CN115" i="13"/>
  <c r="CN113" i="13"/>
  <c r="DA113" i="13"/>
  <c r="DU113" i="13" s="1"/>
  <c r="CZ113" i="13"/>
  <c r="DT113" i="13" s="1"/>
  <c r="CK113" i="13"/>
  <c r="CY71" i="12"/>
  <c r="DS71" i="12" s="1"/>
  <c r="CJ71" i="12"/>
  <c r="CI71" i="12"/>
  <c r="V95" i="12"/>
  <c r="P95" i="12"/>
  <c r="CH95" i="12" s="1"/>
  <c r="O95" i="12"/>
  <c r="CG95" i="12" s="1"/>
  <c r="N95" i="12"/>
  <c r="X95" i="12"/>
  <c r="CP95" i="12" s="1"/>
  <c r="W95" i="12"/>
  <c r="CO95" i="12" s="1"/>
  <c r="T95" i="12"/>
  <c r="CL95" i="12" s="1"/>
  <c r="S95" i="12"/>
  <c r="R95" i="12"/>
  <c r="Z95" i="12"/>
  <c r="CR95" i="12" s="1"/>
  <c r="CS95" i="12" s="1"/>
  <c r="Q95" i="12"/>
  <c r="CI95" i="12" s="1"/>
  <c r="M95" i="12"/>
  <c r="CE95" i="12" s="1"/>
  <c r="U95" i="12"/>
  <c r="CM95" i="12" s="1"/>
  <c r="Y95" i="12"/>
  <c r="CQ95" i="12" s="1"/>
  <c r="Y93" i="12"/>
  <c r="CQ93" i="12" s="1"/>
  <c r="M93" i="12"/>
  <c r="CE93" i="12" s="1"/>
  <c r="U93" i="12"/>
  <c r="CM93" i="12" s="1"/>
  <c r="R93" i="12"/>
  <c r="Z93" i="12"/>
  <c r="CR93" i="12" s="1"/>
  <c r="CS93" i="12" s="1"/>
  <c r="N93" i="12"/>
  <c r="V93" i="12"/>
  <c r="W93" i="12"/>
  <c r="CO93" i="12" s="1"/>
  <c r="Q93" i="12"/>
  <c r="CI93" i="12" s="1"/>
  <c r="T93" i="12"/>
  <c r="CL93" i="12" s="1"/>
  <c r="X93" i="12"/>
  <c r="CP93" i="12" s="1"/>
  <c r="S93" i="12"/>
  <c r="O93" i="12"/>
  <c r="CG93" i="12" s="1"/>
  <c r="P93" i="12"/>
  <c r="CH93" i="12" s="1"/>
  <c r="M158" i="13"/>
  <c r="CE158" i="13" s="1"/>
  <c r="R158" i="13"/>
  <c r="U158" i="13"/>
  <c r="CM158" i="13" s="1"/>
  <c r="Q158" i="13"/>
  <c r="CI158" i="13" s="1"/>
  <c r="Y158" i="13"/>
  <c r="CQ158" i="13" s="1"/>
  <c r="V158" i="13"/>
  <c r="N158" i="13"/>
  <c r="O158" i="13"/>
  <c r="CG158" i="13" s="1"/>
  <c r="S158" i="13"/>
  <c r="W158" i="13"/>
  <c r="CO158" i="13" s="1"/>
  <c r="Z158" i="13"/>
  <c r="CR158" i="13" s="1"/>
  <c r="J158" i="13" s="1"/>
  <c r="T158" i="13"/>
  <c r="CL158" i="13" s="1"/>
  <c r="P158" i="13"/>
  <c r="CH158" i="13" s="1"/>
  <c r="X158" i="13"/>
  <c r="CP158" i="13" s="1"/>
  <c r="CG40" i="14"/>
  <c r="CZ40" i="14"/>
  <c r="DT40" i="14" s="1"/>
  <c r="CK40" i="14"/>
  <c r="CO111" i="13"/>
  <c r="CI39" i="14"/>
  <c r="CX109" i="13"/>
  <c r="DR109" i="13" s="1"/>
  <c r="CF109" i="13"/>
  <c r="CO109" i="13"/>
  <c r="CO70" i="12"/>
  <c r="CQ70" i="12"/>
  <c r="CH106" i="13"/>
  <c r="CZ106" i="13"/>
  <c r="DT106" i="13" s="1"/>
  <c r="CK106" i="13"/>
  <c r="CP107" i="13"/>
  <c r="CX107" i="13"/>
  <c r="DR107" i="13" s="1"/>
  <c r="CF107" i="13"/>
  <c r="CE42" i="14"/>
  <c r="CK105" i="13"/>
  <c r="CZ105" i="13"/>
  <c r="DT105" i="13" s="1"/>
  <c r="CE105" i="13"/>
  <c r="CO63" i="12"/>
  <c r="CY63" i="12"/>
  <c r="DS63" i="12" s="1"/>
  <c r="CJ63" i="12"/>
  <c r="CM62" i="12"/>
  <c r="CI62" i="12"/>
  <c r="CY56" i="8"/>
  <c r="DS56" i="8" s="1"/>
  <c r="R57" i="8"/>
  <c r="CZ56" i="8"/>
  <c r="DT56" i="8" s="1"/>
  <c r="S57" i="8"/>
  <c r="DT50" i="8"/>
  <c r="DS52" i="8"/>
  <c r="DS47" i="8"/>
  <c r="DU100" i="8"/>
  <c r="DS45" i="8"/>
  <c r="DU46" i="8"/>
  <c r="DR105" i="8"/>
  <c r="DS50" i="8"/>
  <c r="DU106" i="8"/>
  <c r="DS106" i="8"/>
  <c r="DR96" i="8"/>
  <c r="DR50" i="8"/>
  <c r="DS104" i="8"/>
  <c r="DR106" i="8"/>
  <c r="DS103" i="8"/>
  <c r="DT52" i="8"/>
  <c r="DT47" i="8"/>
  <c r="DT97" i="8"/>
  <c r="DR97" i="8"/>
  <c r="DT95" i="8"/>
  <c r="DS99" i="8"/>
  <c r="DT102" i="8"/>
  <c r="DS54" i="8"/>
  <c r="DR103" i="8"/>
  <c r="DU105" i="8"/>
  <c r="DR47" i="8"/>
  <c r="DS100" i="8"/>
  <c r="DU97" i="8"/>
  <c r="DS46" i="8"/>
  <c r="DT101" i="8"/>
  <c r="DT54" i="8"/>
  <c r="DU103" i="8"/>
  <c r="DT103" i="8"/>
  <c r="DU48" i="8"/>
  <c r="DS105" i="8"/>
  <c r="DR100" i="8"/>
  <c r="DT53" i="8"/>
  <c r="DT45" i="8"/>
  <c r="DS98" i="8"/>
  <c r="DR46" i="8"/>
  <c r="DS95" i="8"/>
  <c r="DS55" i="8"/>
  <c r="DR55" i="8"/>
  <c r="DR99" i="8"/>
  <c r="DR102" i="8"/>
  <c r="DR101" i="8"/>
  <c r="DR54" i="8"/>
  <c r="DR48" i="8"/>
  <c r="DT100" i="8"/>
  <c r="DR53" i="8"/>
  <c r="DR45" i="8"/>
  <c r="DS97" i="8"/>
  <c r="DT46" i="8"/>
  <c r="DU55" i="8"/>
  <c r="DU51" i="8"/>
  <c r="DU99" i="8"/>
  <c r="DU102" i="8"/>
  <c r="DU101" i="8"/>
  <c r="DU54" i="8"/>
  <c r="DU96" i="8"/>
  <c r="DS48" i="8"/>
  <c r="DT105" i="8"/>
  <c r="DU52" i="8"/>
  <c r="DU47" i="8"/>
  <c r="DU53" i="8"/>
  <c r="DU45" i="8"/>
  <c r="DU50" i="8"/>
  <c r="DT98" i="8"/>
  <c r="DU104" i="8"/>
  <c r="DR95" i="8"/>
  <c r="DT51" i="8"/>
  <c r="DT99" i="8"/>
  <c r="DS96" i="8"/>
  <c r="DU98" i="8"/>
  <c r="DR52" i="8"/>
  <c r="DR104" i="8"/>
  <c r="DU95" i="8"/>
  <c r="DR49" i="8"/>
  <c r="DS49" i="8"/>
  <c r="DS51" i="8"/>
  <c r="DS102" i="8"/>
  <c r="DS101" i="8"/>
  <c r="DR56" i="8"/>
  <c r="DT106" i="8"/>
  <c r="DS53" i="8"/>
  <c r="DR98" i="8"/>
  <c r="DT104" i="8"/>
  <c r="DU49" i="8"/>
  <c r="DT49" i="8"/>
  <c r="DT55" i="8"/>
  <c r="DR51" i="8"/>
  <c r="DT96" i="8"/>
  <c r="DT48" i="8"/>
  <c r="DU56" i="8"/>
  <c r="CG104" i="8"/>
  <c r="CF106" i="8"/>
  <c r="CE50" i="8"/>
  <c r="CH50" i="8"/>
  <c r="CJ106" i="8"/>
  <c r="CH104" i="8"/>
  <c r="CK50" i="8"/>
  <c r="CR106" i="8"/>
  <c r="CS106" i="8" s="1"/>
  <c r="CP106" i="8"/>
  <c r="CN106" i="8"/>
  <c r="CE104" i="8"/>
  <c r="CI50" i="8"/>
  <c r="CN50" i="8"/>
  <c r="CI104" i="8"/>
  <c r="CQ104" i="8"/>
  <c r="CJ50" i="8"/>
  <c r="CO50" i="8"/>
  <c r="CG106" i="8"/>
  <c r="CK106" i="8"/>
  <c r="CI106" i="8"/>
  <c r="CN104" i="8"/>
  <c r="CJ104" i="8"/>
  <c r="CG50" i="8"/>
  <c r="CR104" i="8"/>
  <c r="J104" i="8" s="1"/>
  <c r="CO106" i="8"/>
  <c r="CQ50" i="8"/>
  <c r="CP104" i="8"/>
  <c r="CM104" i="8"/>
  <c r="CH106" i="8"/>
  <c r="CN103" i="8"/>
  <c r="CL106" i="8"/>
  <c r="CL50" i="8"/>
  <c r="CE106" i="8"/>
  <c r="CR50" i="8"/>
  <c r="CS50" i="8" s="1"/>
  <c r="CO102" i="8"/>
  <c r="CM106" i="8"/>
  <c r="CQ106" i="8"/>
  <c r="CM50" i="8"/>
  <c r="CF104" i="8"/>
  <c r="CK104" i="8"/>
  <c r="CP50" i="8"/>
  <c r="CF50" i="8"/>
  <c r="CL104" i="8"/>
  <c r="CQ52" i="8"/>
  <c r="CF52" i="8"/>
  <c r="CQ47" i="8"/>
  <c r="CK47" i="8"/>
  <c r="CN100" i="8"/>
  <c r="CH100" i="8"/>
  <c r="CL53" i="8"/>
  <c r="CH53" i="8"/>
  <c r="CR45" i="8"/>
  <c r="CK45" i="8"/>
  <c r="CM98" i="8"/>
  <c r="CG98" i="8"/>
  <c r="CK97" i="8"/>
  <c r="CF97" i="8"/>
  <c r="CG46" i="8"/>
  <c r="CF46" i="8"/>
  <c r="CN95" i="8"/>
  <c r="CF49" i="8"/>
  <c r="CJ49" i="8"/>
  <c r="CG55" i="8"/>
  <c r="CE55" i="8"/>
  <c r="CN51" i="8"/>
  <c r="CI51" i="8"/>
  <c r="CO99" i="8"/>
  <c r="CI99" i="8"/>
  <c r="CR102" i="8"/>
  <c r="CG102" i="8"/>
  <c r="CK101" i="8"/>
  <c r="CM101" i="8"/>
  <c r="CN54" i="8"/>
  <c r="CE96" i="8"/>
  <c r="CK96" i="8"/>
  <c r="CF103" i="8"/>
  <c r="CR103" i="8"/>
  <c r="CM48" i="8"/>
  <c r="CF56" i="8"/>
  <c r="CQ105" i="8"/>
  <c r="CN105" i="8"/>
  <c r="CH52" i="8"/>
  <c r="CO52" i="8"/>
  <c r="CF47" i="8"/>
  <c r="CL47" i="8"/>
  <c r="CQ100" i="8"/>
  <c r="CP100" i="8"/>
  <c r="CM53" i="8"/>
  <c r="CP53" i="8"/>
  <c r="CH45" i="8"/>
  <c r="CF45" i="8"/>
  <c r="CQ98" i="8"/>
  <c r="CO98" i="8"/>
  <c r="CI97" i="8"/>
  <c r="CN97" i="8"/>
  <c r="CO46" i="8"/>
  <c r="CK46" i="8"/>
  <c r="CG95" i="8"/>
  <c r="CH95" i="8"/>
  <c r="CN49" i="8"/>
  <c r="CK49" i="8"/>
  <c r="CH55" i="8"/>
  <c r="CM55" i="8"/>
  <c r="CK51" i="8"/>
  <c r="CQ51" i="8"/>
  <c r="CG99" i="8"/>
  <c r="CQ99" i="8"/>
  <c r="CJ102" i="8"/>
  <c r="CP101" i="8"/>
  <c r="CF101" i="8"/>
  <c r="CR54" i="8"/>
  <c r="CH54" i="8"/>
  <c r="CF96" i="8"/>
  <c r="CL96" i="8"/>
  <c r="CK103" i="8"/>
  <c r="CR48" i="8"/>
  <c r="CN48" i="8"/>
  <c r="CN56" i="8"/>
  <c r="CJ105" i="8"/>
  <c r="CG105" i="8"/>
  <c r="CJ52" i="8"/>
  <c r="CP52" i="8"/>
  <c r="CG47" i="8"/>
  <c r="CE47" i="8"/>
  <c r="CE100" i="8"/>
  <c r="CJ100" i="8"/>
  <c r="CQ53" i="8"/>
  <c r="CI45" i="8"/>
  <c r="CN45" i="8"/>
  <c r="CJ98" i="8"/>
  <c r="CH98" i="8"/>
  <c r="CQ97" i="8"/>
  <c r="CH46" i="8"/>
  <c r="CL95" i="8"/>
  <c r="CP95" i="8"/>
  <c r="CH49" i="8"/>
  <c r="CL49" i="8"/>
  <c r="CJ55" i="8"/>
  <c r="CF55" i="8"/>
  <c r="CL51" i="8"/>
  <c r="CJ51" i="8"/>
  <c r="CE99" i="8"/>
  <c r="CJ99" i="8"/>
  <c r="CI102" i="8"/>
  <c r="CH102" i="8"/>
  <c r="CI101" i="8"/>
  <c r="CN101" i="8"/>
  <c r="CE54" i="8"/>
  <c r="CP54" i="8"/>
  <c r="CG96" i="8"/>
  <c r="CO103" i="8"/>
  <c r="CQ48" i="8"/>
  <c r="CF48" i="8"/>
  <c r="CR56" i="8"/>
  <c r="CG56" i="8"/>
  <c r="CR105" i="8"/>
  <c r="CO105" i="8"/>
  <c r="CK52" i="8"/>
  <c r="CL52" i="8"/>
  <c r="CO47" i="8"/>
  <c r="CM47" i="8"/>
  <c r="CF100" i="8"/>
  <c r="CR100" i="8"/>
  <c r="CK53" i="8"/>
  <c r="CQ45" i="8"/>
  <c r="CG45" i="8"/>
  <c r="CR98" i="8"/>
  <c r="CP98" i="8"/>
  <c r="CJ97" i="8"/>
  <c r="CI46" i="8"/>
  <c r="CK95" i="8"/>
  <c r="CI95" i="8"/>
  <c r="CP49" i="8"/>
  <c r="CO55" i="8"/>
  <c r="CN55" i="8"/>
  <c r="CM51" i="8"/>
  <c r="CF51" i="8"/>
  <c r="CM99" i="8"/>
  <c r="CR99" i="8"/>
  <c r="CE102" i="8"/>
  <c r="CP102" i="8"/>
  <c r="CQ101" i="8"/>
  <c r="CG54" i="8"/>
  <c r="CI54" i="8"/>
  <c r="CO96" i="8"/>
  <c r="CH103" i="8"/>
  <c r="CJ48" i="8"/>
  <c r="CG48" i="8"/>
  <c r="CK56" i="8"/>
  <c r="CO56" i="8"/>
  <c r="CK105" i="8"/>
  <c r="CI52" i="8"/>
  <c r="CH47" i="8"/>
  <c r="CN47" i="8"/>
  <c r="CI100" i="8"/>
  <c r="CK100" i="8"/>
  <c r="CR53" i="8"/>
  <c r="CF53" i="8"/>
  <c r="CP45" i="8"/>
  <c r="CO45" i="8"/>
  <c r="CK98" i="8"/>
  <c r="CO97" i="8"/>
  <c r="CR97" i="8"/>
  <c r="CR46" i="8"/>
  <c r="CQ46" i="8"/>
  <c r="CO95" i="8"/>
  <c r="CQ95" i="8"/>
  <c r="CG49" i="8"/>
  <c r="CI55" i="8"/>
  <c r="CG51" i="8"/>
  <c r="CE51" i="8"/>
  <c r="CF99" i="8"/>
  <c r="CK102" i="8"/>
  <c r="CJ101" i="8"/>
  <c r="CL54" i="8"/>
  <c r="CQ54" i="8"/>
  <c r="CM96" i="8"/>
  <c r="CH96" i="8"/>
  <c r="CG103" i="8"/>
  <c r="CP103" i="8"/>
  <c r="CL48" i="8"/>
  <c r="CO48" i="8"/>
  <c r="CJ56" i="8"/>
  <c r="CH56" i="8"/>
  <c r="CL105" i="8"/>
  <c r="CM52" i="8"/>
  <c r="CP47" i="8"/>
  <c r="CM100" i="8"/>
  <c r="CL100" i="8"/>
  <c r="CE53" i="8"/>
  <c r="CN53" i="8"/>
  <c r="CJ45" i="8"/>
  <c r="CE45" i="8"/>
  <c r="CL98" i="8"/>
  <c r="CP97" i="8"/>
  <c r="CL97" i="8"/>
  <c r="CL46" i="8"/>
  <c r="CN46" i="8"/>
  <c r="CE95" i="8"/>
  <c r="CJ95" i="8"/>
  <c r="CR49" i="8"/>
  <c r="CQ49" i="8"/>
  <c r="CQ55" i="8"/>
  <c r="CO51" i="8"/>
  <c r="CN99" i="8"/>
  <c r="CL102" i="8"/>
  <c r="CG101" i="8"/>
  <c r="CR101" i="8"/>
  <c r="CO54" i="8"/>
  <c r="CJ54" i="8"/>
  <c r="CN96" i="8"/>
  <c r="CP96" i="8"/>
  <c r="CL103" i="8"/>
  <c r="CI103" i="8"/>
  <c r="CI48" i="8"/>
  <c r="CH48" i="8"/>
  <c r="CL56" i="8"/>
  <c r="CP56" i="8"/>
  <c r="CP105" i="8"/>
  <c r="CE105" i="8"/>
  <c r="CR52" i="8"/>
  <c r="CE52" i="8"/>
  <c r="CI47" i="8"/>
  <c r="CG100" i="8"/>
  <c r="CI53" i="8"/>
  <c r="CG53" i="8"/>
  <c r="CL45" i="8"/>
  <c r="CE98" i="8"/>
  <c r="CF98" i="8"/>
  <c r="CG97" i="8"/>
  <c r="CE97" i="8"/>
  <c r="CE46" i="8"/>
  <c r="CP46" i="8"/>
  <c r="CM95" i="8"/>
  <c r="CR95" i="8"/>
  <c r="CE49" i="8"/>
  <c r="CO49" i="8"/>
  <c r="CR55" i="8"/>
  <c r="CK55" i="8"/>
  <c r="CH51" i="8"/>
  <c r="CK99" i="8"/>
  <c r="CH99" i="8"/>
  <c r="CM102" i="8"/>
  <c r="CF102" i="8"/>
  <c r="CH101" i="8"/>
  <c r="CL101" i="8"/>
  <c r="CM54" i="8"/>
  <c r="CK54" i="8"/>
  <c r="CQ96" i="8"/>
  <c r="CJ96" i="8"/>
  <c r="CE103" i="8"/>
  <c r="CQ103" i="8"/>
  <c r="CK48" i="8"/>
  <c r="CP48" i="8"/>
  <c r="CE56" i="8"/>
  <c r="CI56" i="8"/>
  <c r="CH105" i="8"/>
  <c r="CM105" i="8"/>
  <c r="CO104" i="8"/>
  <c r="CG52" i="8"/>
  <c r="CN52" i="8"/>
  <c r="CR47" i="8"/>
  <c r="CJ47" i="8"/>
  <c r="CO100" i="8"/>
  <c r="CJ53" i="8"/>
  <c r="CO53" i="8"/>
  <c r="CM45" i="8"/>
  <c r="CI98" i="8"/>
  <c r="CN98" i="8"/>
  <c r="CH97" i="8"/>
  <c r="CM97" i="8"/>
  <c r="CM46" i="8"/>
  <c r="CJ46" i="8"/>
  <c r="CF95" i="8"/>
  <c r="CM49" i="8"/>
  <c r="CI49" i="8"/>
  <c r="CP55" i="8"/>
  <c r="CL55" i="8"/>
  <c r="CR51" i="8"/>
  <c r="CP51" i="8"/>
  <c r="CL99" i="8"/>
  <c r="CP99" i="8"/>
  <c r="CQ102" i="8"/>
  <c r="CN102" i="8"/>
  <c r="CO101" i="8"/>
  <c r="CE101" i="8"/>
  <c r="CF54" i="8"/>
  <c r="CI96" i="8"/>
  <c r="CR96" i="8"/>
  <c r="CM103" i="8"/>
  <c r="CJ103" i="8"/>
  <c r="CE48" i="8"/>
  <c r="CM56" i="8"/>
  <c r="CQ56" i="8"/>
  <c r="CI105" i="8"/>
  <c r="CF105" i="8"/>
  <c r="G76" i="1"/>
  <c r="G83" i="1"/>
  <c r="I59" i="1"/>
  <c r="J59" i="1" s="1"/>
  <c r="G77" i="1"/>
  <c r="G81" i="1"/>
  <c r="G82" i="1"/>
  <c r="F74" i="1"/>
  <c r="P74" i="1"/>
  <c r="P75" i="1"/>
  <c r="P76" i="1"/>
  <c r="P77" i="1"/>
  <c r="P78" i="1"/>
  <c r="P80" i="1"/>
  <c r="P81" i="1"/>
  <c r="P82" i="1"/>
  <c r="P83" i="1"/>
  <c r="P84" i="1"/>
  <c r="G78" i="1"/>
  <c r="G84" i="1"/>
  <c r="Q83" i="1"/>
  <c r="Q84" i="1"/>
  <c r="G75" i="1"/>
  <c r="G80" i="1"/>
  <c r="I60" i="1"/>
  <c r="J60" i="1" s="1"/>
  <c r="E82" i="1"/>
  <c r="O77" i="1"/>
  <c r="O81" i="1"/>
  <c r="O75" i="1"/>
  <c r="O84" i="1"/>
  <c r="O78" i="1"/>
  <c r="E74" i="1"/>
  <c r="O82" i="1"/>
  <c r="O83" i="1"/>
  <c r="S47" i="1"/>
  <c r="T47" i="1" s="1"/>
  <c r="S51" i="1"/>
  <c r="T51" i="1" s="1"/>
  <c r="I48" i="1"/>
  <c r="J48" i="1" s="1"/>
  <c r="I50" i="1"/>
  <c r="J50" i="1" s="1"/>
  <c r="I52" i="1"/>
  <c r="J52" i="1" s="1"/>
  <c r="I54" i="1"/>
  <c r="J54" i="1" s="1"/>
  <c r="I58" i="1"/>
  <c r="J58" i="1" s="1"/>
  <c r="I62" i="1"/>
  <c r="J62" i="1" s="1"/>
  <c r="I64" i="1"/>
  <c r="J64" i="1" s="1"/>
  <c r="I56" i="1"/>
  <c r="J56" i="1" s="1"/>
  <c r="I53" i="1"/>
  <c r="J53" i="1" s="1"/>
  <c r="I57" i="1"/>
  <c r="J57" i="1" s="1"/>
  <c r="I55" i="1"/>
  <c r="J55" i="1" s="1"/>
  <c r="I63" i="1"/>
  <c r="J63" i="1" s="1"/>
  <c r="I65" i="1"/>
  <c r="J65" i="1" s="1"/>
  <c r="I47" i="1"/>
  <c r="J47" i="1" s="1"/>
  <c r="S57" i="1"/>
  <c r="T57" i="1" s="1"/>
  <c r="S61" i="1"/>
  <c r="T61" i="1" s="1"/>
  <c r="S55" i="1"/>
  <c r="T55" i="1" s="1"/>
  <c r="S63" i="1"/>
  <c r="T63" i="1" s="1"/>
  <c r="I49" i="1"/>
  <c r="J49" i="1" s="1"/>
  <c r="I51" i="1"/>
  <c r="J51" i="1" s="1"/>
  <c r="S50" i="1"/>
  <c r="T50" i="1" s="1"/>
  <c r="S59" i="1"/>
  <c r="T59" i="1" s="1"/>
  <c r="S56" i="1"/>
  <c r="T56" i="1" s="1"/>
  <c r="S53" i="1"/>
  <c r="T53" i="1" s="1"/>
  <c r="S49" i="1"/>
  <c r="T49" i="1" s="1"/>
  <c r="S46" i="1"/>
  <c r="T46" i="1" s="1"/>
  <c r="I61" i="1"/>
  <c r="J61" i="1" s="1"/>
  <c r="U44" i="2"/>
  <c r="T44" i="2"/>
  <c r="U43" i="2"/>
  <c r="T43" i="2"/>
  <c r="U42" i="2"/>
  <c r="T42" i="2"/>
  <c r="U41" i="2"/>
  <c r="T41" i="2"/>
  <c r="U40" i="2"/>
  <c r="T40" i="2"/>
  <c r="U39" i="2"/>
  <c r="T39" i="2"/>
  <c r="U38" i="2"/>
  <c r="T38" i="2"/>
  <c r="U33" i="2"/>
  <c r="T33" i="2"/>
  <c r="U32" i="2"/>
  <c r="T32" i="2"/>
  <c r="U31" i="2"/>
  <c r="T31" i="2"/>
  <c r="U30" i="2"/>
  <c r="T30" i="2"/>
  <c r="U29" i="2"/>
  <c r="T29" i="2"/>
  <c r="BE69" i="3"/>
  <c r="BD69" i="3"/>
  <c r="BC69" i="3"/>
  <c r="BB69" i="3"/>
  <c r="AR69" i="3"/>
  <c r="AQ69" i="3"/>
  <c r="AP69" i="3"/>
  <c r="AO69" i="3"/>
  <c r="AE69" i="3"/>
  <c r="AD69" i="3"/>
  <c r="AC69" i="3"/>
  <c r="AB69" i="3"/>
  <c r="R69" i="3"/>
  <c r="Q69" i="3"/>
  <c r="P69" i="3"/>
  <c r="O69" i="3"/>
  <c r="CS79" i="14" l="1"/>
  <c r="CS81" i="14"/>
  <c r="CS39" i="14"/>
  <c r="DY40" i="14"/>
  <c r="ED40" i="14" s="1"/>
  <c r="DY41" i="14"/>
  <c r="ED41" i="14" s="1"/>
  <c r="CS38" i="14"/>
  <c r="DY109" i="13"/>
  <c r="ED109" i="13" s="1"/>
  <c r="DY103" i="13"/>
  <c r="ED103" i="13" s="1"/>
  <c r="DZ112" i="13"/>
  <c r="EE112" i="13" s="1"/>
  <c r="DZ109" i="13"/>
  <c r="EE109" i="13" s="1"/>
  <c r="DY107" i="13"/>
  <c r="ED107" i="13" s="1"/>
  <c r="DZ68" i="12"/>
  <c r="DZ71" i="12"/>
  <c r="EE70" i="12" s="1"/>
  <c r="DZ69" i="12"/>
  <c r="EE68" i="12" s="1"/>
  <c r="DZ72" i="12"/>
  <c r="EE71" i="12" s="1"/>
  <c r="ER77" i="12" s="1"/>
  <c r="FB77" i="12" s="1"/>
  <c r="CS74" i="12"/>
  <c r="DY74" i="12"/>
  <c r="ED73" i="12" s="1"/>
  <c r="CS66" i="12"/>
  <c r="CS92" i="12"/>
  <c r="DZ63" i="12"/>
  <c r="EE63" i="12" s="1"/>
  <c r="ER65" i="12" s="1"/>
  <c r="FB65" i="12" s="1"/>
  <c r="DZ40" i="14"/>
  <c r="EE40" i="14" s="1"/>
  <c r="DY64" i="12"/>
  <c r="CS88" i="12"/>
  <c r="DZ113" i="13"/>
  <c r="EE113" i="13" s="1"/>
  <c r="ER135" i="13" s="1"/>
  <c r="EZ135" i="13" s="1"/>
  <c r="FJ135" i="13" s="1"/>
  <c r="CX93" i="12"/>
  <c r="DR93" i="12" s="1"/>
  <c r="CF93" i="12"/>
  <c r="CX95" i="12"/>
  <c r="DR95" i="12" s="1"/>
  <c r="CF95" i="12"/>
  <c r="CJ82" i="14"/>
  <c r="CY82" i="14"/>
  <c r="DS82" i="14" s="1"/>
  <c r="CY88" i="12"/>
  <c r="DS88" i="12" s="1"/>
  <c r="CJ88" i="12"/>
  <c r="CX88" i="12"/>
  <c r="DR88" i="12" s="1"/>
  <c r="CF88" i="12"/>
  <c r="CX96" i="12"/>
  <c r="DR96" i="12" s="1"/>
  <c r="CF96" i="12"/>
  <c r="CJ157" i="13"/>
  <c r="CY157" i="13"/>
  <c r="DS157" i="13" s="1"/>
  <c r="CY84" i="14"/>
  <c r="DS84" i="14" s="1"/>
  <c r="CJ84" i="14"/>
  <c r="CZ91" i="12"/>
  <c r="DT91" i="12" s="1"/>
  <c r="CK91" i="12"/>
  <c r="DA91" i="12"/>
  <c r="DU91" i="12" s="1"/>
  <c r="CN91" i="12"/>
  <c r="EQ158" i="13"/>
  <c r="EY158" i="13" s="1"/>
  <c r="EQ115" i="13"/>
  <c r="EY115" i="13" s="1"/>
  <c r="FI115" i="13" s="1"/>
  <c r="EQ110" i="13"/>
  <c r="EY110" i="13" s="1"/>
  <c r="FI110" i="13" s="1"/>
  <c r="EQ112" i="13"/>
  <c r="EY112" i="13" s="1"/>
  <c r="FI112" i="13" s="1"/>
  <c r="EQ114" i="13"/>
  <c r="EY114" i="13" s="1"/>
  <c r="FI114" i="13" s="1"/>
  <c r="EQ113" i="13"/>
  <c r="EY113" i="13" s="1"/>
  <c r="FI113" i="13" s="1"/>
  <c r="EQ111" i="13"/>
  <c r="EY111" i="13" s="1"/>
  <c r="FI111" i="13" s="1"/>
  <c r="CN153" i="13"/>
  <c r="DA153" i="13"/>
  <c r="DU153" i="13" s="1"/>
  <c r="CX148" i="13"/>
  <c r="DR148" i="13" s="1"/>
  <c r="CF148" i="13"/>
  <c r="DY113" i="13"/>
  <c r="ED113" i="13" s="1"/>
  <c r="EQ135" i="13" s="1"/>
  <c r="EY135" i="13" s="1"/>
  <c r="FI135" i="13" s="1"/>
  <c r="DY111" i="13"/>
  <c r="ED111" i="13" s="1"/>
  <c r="EQ132" i="13" s="1"/>
  <c r="EY132" i="13" s="1"/>
  <c r="FI132" i="13" s="1"/>
  <c r="CK149" i="13"/>
  <c r="CZ149" i="13"/>
  <c r="DT149" i="13" s="1"/>
  <c r="CX94" i="12"/>
  <c r="DR94" i="12" s="1"/>
  <c r="CF94" i="12"/>
  <c r="CY94" i="12"/>
  <c r="DS94" i="12" s="1"/>
  <c r="CJ94" i="12"/>
  <c r="DZ36" i="14"/>
  <c r="ER133" i="13"/>
  <c r="EZ133" i="13" s="1"/>
  <c r="FJ133" i="13" s="1"/>
  <c r="ER134" i="13"/>
  <c r="EZ134" i="13" s="1"/>
  <c r="FJ134" i="13" s="1"/>
  <c r="CY85" i="14"/>
  <c r="DS85" i="14" s="1"/>
  <c r="CJ85" i="14"/>
  <c r="CJ151" i="13"/>
  <c r="CY151" i="13"/>
  <c r="DS151" i="13" s="1"/>
  <c r="DA89" i="12"/>
  <c r="DU89" i="12" s="1"/>
  <c r="CN89" i="12"/>
  <c r="CX81" i="14"/>
  <c r="DR81" i="14" s="1"/>
  <c r="CF81" i="14"/>
  <c r="CK147" i="13"/>
  <c r="CZ147" i="13"/>
  <c r="DT147" i="13" s="1"/>
  <c r="CY92" i="12"/>
  <c r="DS92" i="12" s="1"/>
  <c r="CJ92" i="12"/>
  <c r="DY65" i="12"/>
  <c r="CZ90" i="12"/>
  <c r="DT90" i="12" s="1"/>
  <c r="CK90" i="12"/>
  <c r="CZ99" i="12"/>
  <c r="DT99" i="12" s="1"/>
  <c r="CK99" i="12"/>
  <c r="CS146" i="13"/>
  <c r="ER128" i="13"/>
  <c r="EZ128" i="13" s="1"/>
  <c r="FJ128" i="13" s="1"/>
  <c r="ER125" i="13"/>
  <c r="EZ125" i="13" s="1"/>
  <c r="FJ125" i="13" s="1"/>
  <c r="ER127" i="13"/>
  <c r="EZ127" i="13" s="1"/>
  <c r="FJ127" i="13" s="1"/>
  <c r="ER129" i="13"/>
  <c r="EZ129" i="13" s="1"/>
  <c r="FJ129" i="13" s="1"/>
  <c r="ER126" i="13"/>
  <c r="EZ126" i="13" s="1"/>
  <c r="FJ126" i="13" s="1"/>
  <c r="CX147" i="13"/>
  <c r="DR147" i="13" s="1"/>
  <c r="CF147" i="13"/>
  <c r="DY66" i="12"/>
  <c r="ED66" i="12" s="1"/>
  <c r="CS37" i="14"/>
  <c r="CX60" i="15"/>
  <c r="DR60" i="15" s="1"/>
  <c r="CF60" i="15"/>
  <c r="DA100" i="12"/>
  <c r="DU100" i="12" s="1"/>
  <c r="CN100" i="12"/>
  <c r="DA83" i="14"/>
  <c r="DU83" i="14" s="1"/>
  <c r="CN83" i="14"/>
  <c r="CZ81" i="14"/>
  <c r="DT81" i="14" s="1"/>
  <c r="CK81" i="14"/>
  <c r="CN158" i="13"/>
  <c r="DA158" i="13"/>
  <c r="DU158" i="13" s="1"/>
  <c r="CZ93" i="12"/>
  <c r="DT93" i="12" s="1"/>
  <c r="CK93" i="12"/>
  <c r="CY93" i="12"/>
  <c r="DS93" i="12" s="1"/>
  <c r="CJ93" i="12"/>
  <c r="DA146" i="13"/>
  <c r="DU146" i="13" s="1"/>
  <c r="CN146" i="13"/>
  <c r="DA96" i="12"/>
  <c r="DU96" i="12" s="1"/>
  <c r="CN96" i="12"/>
  <c r="CX157" i="13"/>
  <c r="DR157" i="13" s="1"/>
  <c r="CF157" i="13"/>
  <c r="CX84" i="14"/>
  <c r="DR84" i="14" s="1"/>
  <c r="CF84" i="14"/>
  <c r="CF152" i="13"/>
  <c r="CX152" i="13"/>
  <c r="DR152" i="13" s="1"/>
  <c r="CX98" i="12"/>
  <c r="DR98" i="12" s="1"/>
  <c r="CF98" i="12"/>
  <c r="CY98" i="12"/>
  <c r="DS98" i="12" s="1"/>
  <c r="CJ98" i="12"/>
  <c r="DY68" i="12"/>
  <c r="CY60" i="15"/>
  <c r="DS60" i="15" s="1"/>
  <c r="CJ60" i="15"/>
  <c r="DA60" i="15"/>
  <c r="DU60" i="15" s="1"/>
  <c r="CN60" i="15"/>
  <c r="CN97" i="12"/>
  <c r="DA97" i="12"/>
  <c r="DU97" i="12" s="1"/>
  <c r="CY100" i="12"/>
  <c r="DS100" i="12" s="1"/>
  <c r="CJ100" i="12"/>
  <c r="ER70" i="12"/>
  <c r="FB70" i="12" s="1"/>
  <c r="ER69" i="12"/>
  <c r="FB69" i="12" s="1"/>
  <c r="ER68" i="12"/>
  <c r="FB68" i="12" s="1"/>
  <c r="CY149" i="13"/>
  <c r="DS149" i="13" s="1"/>
  <c r="DZ149" i="13" s="1"/>
  <c r="EE149" i="13" s="1"/>
  <c r="CJ149" i="13"/>
  <c r="CY83" i="14"/>
  <c r="DS83" i="14" s="1"/>
  <c r="CJ83" i="14"/>
  <c r="CF155" i="13"/>
  <c r="CX155" i="13"/>
  <c r="DR155" i="13" s="1"/>
  <c r="CZ94" i="12"/>
  <c r="DT94" i="12" s="1"/>
  <c r="CK94" i="12"/>
  <c r="CS104" i="13"/>
  <c r="CZ151" i="13"/>
  <c r="DT151" i="13" s="1"/>
  <c r="CK151" i="13"/>
  <c r="CX89" i="12"/>
  <c r="DR89" i="12" s="1"/>
  <c r="CF89" i="12"/>
  <c r="DA81" i="14"/>
  <c r="DU81" i="14" s="1"/>
  <c r="CN81" i="14"/>
  <c r="CY154" i="13"/>
  <c r="DS154" i="13" s="1"/>
  <c r="CJ154" i="13"/>
  <c r="DA92" i="12"/>
  <c r="DU92" i="12" s="1"/>
  <c r="CN92" i="12"/>
  <c r="CS107" i="13"/>
  <c r="CX150" i="13"/>
  <c r="DR150" i="13" s="1"/>
  <c r="CF150" i="13"/>
  <c r="CX99" i="12"/>
  <c r="DR99" i="12" s="1"/>
  <c r="CF99" i="12"/>
  <c r="DZ104" i="13"/>
  <c r="EE104" i="13" s="1"/>
  <c r="DY112" i="13"/>
  <c r="ED112" i="13" s="1"/>
  <c r="CX146" i="13"/>
  <c r="DR146" i="13" s="1"/>
  <c r="CF146" i="13"/>
  <c r="CZ88" i="12"/>
  <c r="DT88" i="12" s="1"/>
  <c r="CK88" i="12"/>
  <c r="CX153" i="13"/>
  <c r="DR153" i="13" s="1"/>
  <c r="CF153" i="13"/>
  <c r="DA94" i="12"/>
  <c r="DU94" i="12" s="1"/>
  <c r="CN94" i="12"/>
  <c r="CY89" i="12"/>
  <c r="DS89" i="12" s="1"/>
  <c r="CJ89" i="12"/>
  <c r="CY95" i="12"/>
  <c r="DS95" i="12" s="1"/>
  <c r="CJ95" i="12"/>
  <c r="DA95" i="12"/>
  <c r="DU95" i="12" s="1"/>
  <c r="CN95" i="12"/>
  <c r="DA82" i="14"/>
  <c r="DU82" i="14" s="1"/>
  <c r="CN82" i="14"/>
  <c r="CJ146" i="13"/>
  <c r="CY146" i="13"/>
  <c r="DS146" i="13" s="1"/>
  <c r="DY106" i="13"/>
  <c r="ED106" i="13" s="1"/>
  <c r="EQ120" i="13" s="1"/>
  <c r="EY120" i="13" s="1"/>
  <c r="FI120" i="13" s="1"/>
  <c r="CK157" i="13"/>
  <c r="CZ157" i="13"/>
  <c r="DT157" i="13" s="1"/>
  <c r="CK84" i="14"/>
  <c r="CZ84" i="14"/>
  <c r="DT84" i="14" s="1"/>
  <c r="DA98" i="12"/>
  <c r="DU98" i="12" s="1"/>
  <c r="CN98" i="12"/>
  <c r="CS91" i="12"/>
  <c r="J91" i="12"/>
  <c r="DZ65" i="12"/>
  <c r="EE65" i="12" s="1"/>
  <c r="ER67" i="12" s="1"/>
  <c r="FB67" i="12" s="1"/>
  <c r="CS60" i="15"/>
  <c r="J60" i="15"/>
  <c r="CJ80" i="14"/>
  <c r="CY80" i="14"/>
  <c r="DS80" i="14" s="1"/>
  <c r="CS100" i="12"/>
  <c r="J100" i="12"/>
  <c r="DY70" i="12"/>
  <c r="ED69" i="12" s="1"/>
  <c r="DZ111" i="13"/>
  <c r="EE111" i="13" s="1"/>
  <c r="ER132" i="13" s="1"/>
  <c r="EZ132" i="13" s="1"/>
  <c r="FJ132" i="13" s="1"/>
  <c r="CN149" i="13"/>
  <c r="DA149" i="13"/>
  <c r="DU149" i="13" s="1"/>
  <c r="CN155" i="13"/>
  <c r="DA155" i="13"/>
  <c r="DU155" i="13" s="1"/>
  <c r="DZ17" i="15"/>
  <c r="CS36" i="14"/>
  <c r="CF79" i="14"/>
  <c r="CX79" i="14"/>
  <c r="DR79" i="14" s="1"/>
  <c r="CS65" i="12"/>
  <c r="J65" i="12"/>
  <c r="CZ154" i="13"/>
  <c r="DT154" i="13" s="1"/>
  <c r="CK154" i="13"/>
  <c r="CY147" i="13"/>
  <c r="DS147" i="13" s="1"/>
  <c r="CJ147" i="13"/>
  <c r="DY110" i="13"/>
  <c r="ED110" i="13" s="1"/>
  <c r="DY67" i="12"/>
  <c r="ED67" i="12" s="1"/>
  <c r="DY39" i="14"/>
  <c r="ED39" i="14" s="1"/>
  <c r="CX156" i="13"/>
  <c r="DR156" i="13" s="1"/>
  <c r="CF156" i="13"/>
  <c r="CY150" i="13"/>
  <c r="DS150" i="13" s="1"/>
  <c r="CJ150" i="13"/>
  <c r="ER81" i="12"/>
  <c r="FB81" i="12" s="1"/>
  <c r="ER80" i="12"/>
  <c r="FB80" i="12" s="1"/>
  <c r="EQ125" i="13"/>
  <c r="EY125" i="13" s="1"/>
  <c r="FI125" i="13" s="1"/>
  <c r="EQ129" i="13"/>
  <c r="EY129" i="13" s="1"/>
  <c r="FI129" i="13" s="1"/>
  <c r="EQ126" i="13"/>
  <c r="EY126" i="13" s="1"/>
  <c r="FI126" i="13" s="1"/>
  <c r="EQ127" i="13"/>
  <c r="EY127" i="13" s="1"/>
  <c r="FI127" i="13" s="1"/>
  <c r="EQ128" i="13"/>
  <c r="EY128" i="13" s="1"/>
  <c r="FI128" i="13" s="1"/>
  <c r="CZ95" i="12"/>
  <c r="DT95" i="12" s="1"/>
  <c r="CK95" i="12"/>
  <c r="CZ82" i="14"/>
  <c r="DT82" i="14" s="1"/>
  <c r="CK82" i="14"/>
  <c r="DA88" i="12"/>
  <c r="DU88" i="12" s="1"/>
  <c r="CN88" i="12"/>
  <c r="CN157" i="13"/>
  <c r="DA157" i="13"/>
  <c r="DU157" i="13" s="1"/>
  <c r="DA152" i="13"/>
  <c r="DU152" i="13" s="1"/>
  <c r="CN152" i="13"/>
  <c r="CZ98" i="12"/>
  <c r="DT98" i="12" s="1"/>
  <c r="CK98" i="12"/>
  <c r="CX91" i="12"/>
  <c r="DR91" i="12" s="1"/>
  <c r="DY91" i="12" s="1"/>
  <c r="CF91" i="12"/>
  <c r="DZ115" i="13"/>
  <c r="EE115" i="13" s="1"/>
  <c r="DZ114" i="13"/>
  <c r="EE114" i="13" s="1"/>
  <c r="CK153" i="13"/>
  <c r="CZ153" i="13"/>
  <c r="DT153" i="13" s="1"/>
  <c r="CX97" i="12"/>
  <c r="DR97" i="12" s="1"/>
  <c r="CF97" i="12"/>
  <c r="CX100" i="12"/>
  <c r="DR100" i="12" s="1"/>
  <c r="DY100" i="12" s="1"/>
  <c r="ED99" i="12" s="1"/>
  <c r="CF100" i="12"/>
  <c r="DZ38" i="14"/>
  <c r="EE38" i="14" s="1"/>
  <c r="DY63" i="12"/>
  <c r="CY79" i="14"/>
  <c r="DS79" i="14" s="1"/>
  <c r="CJ79" i="14"/>
  <c r="CS62" i="12"/>
  <c r="CX154" i="13"/>
  <c r="DR154" i="13" s="1"/>
  <c r="CF154" i="13"/>
  <c r="DA147" i="13"/>
  <c r="DU147" i="13" s="1"/>
  <c r="CN147" i="13"/>
  <c r="DY69" i="12"/>
  <c r="ED68" i="12" s="1"/>
  <c r="CY99" i="12"/>
  <c r="DS99" i="12" s="1"/>
  <c r="DZ99" i="12" s="1"/>
  <c r="EE98" i="12" s="1"/>
  <c r="CJ99" i="12"/>
  <c r="DA99" i="12"/>
  <c r="DU99" i="12" s="1"/>
  <c r="CN99" i="12"/>
  <c r="DY37" i="14"/>
  <c r="ED37" i="14" s="1"/>
  <c r="DZ105" i="13"/>
  <c r="EE105" i="13" s="1"/>
  <c r="CF82" i="14"/>
  <c r="CX82" i="14"/>
  <c r="DR82" i="14" s="1"/>
  <c r="DY82" i="14" s="1"/>
  <c r="ED82" i="14" s="1"/>
  <c r="CY96" i="12"/>
  <c r="DS96" i="12" s="1"/>
  <c r="DZ96" i="12" s="1"/>
  <c r="EE95" i="12" s="1"/>
  <c r="CJ96" i="12"/>
  <c r="DZ73" i="12"/>
  <c r="EE72" i="12" s="1"/>
  <c r="CZ152" i="13"/>
  <c r="DT152" i="13" s="1"/>
  <c r="CK152" i="13"/>
  <c r="CZ60" i="15"/>
  <c r="DT60" i="15" s="1"/>
  <c r="CK60" i="15"/>
  <c r="CF80" i="14"/>
  <c r="CX80" i="14"/>
  <c r="DR80" i="14" s="1"/>
  <c r="CS80" i="14"/>
  <c r="J80" i="14"/>
  <c r="CZ100" i="12"/>
  <c r="DT100" i="12" s="1"/>
  <c r="CK100" i="12"/>
  <c r="CF83" i="14"/>
  <c r="CX83" i="14"/>
  <c r="DR83" i="14" s="1"/>
  <c r="DY83" i="14" s="1"/>
  <c r="ED83" i="14" s="1"/>
  <c r="CK155" i="13"/>
  <c r="CZ155" i="13"/>
  <c r="DT155" i="13" s="1"/>
  <c r="CS158" i="13"/>
  <c r="CS63" i="12"/>
  <c r="CX85" i="14"/>
  <c r="DR85" i="14" s="1"/>
  <c r="CF85" i="14"/>
  <c r="CK79" i="14"/>
  <c r="CZ79" i="14"/>
  <c r="DT79" i="14" s="1"/>
  <c r="CN79" i="14"/>
  <c r="DA79" i="14"/>
  <c r="DU79" i="14" s="1"/>
  <c r="CN151" i="13"/>
  <c r="DA151" i="13"/>
  <c r="DU151" i="13" s="1"/>
  <c r="CZ89" i="12"/>
  <c r="DT89" i="12" s="1"/>
  <c r="CK89" i="12"/>
  <c r="DY42" i="14"/>
  <c r="ED42" i="14" s="1"/>
  <c r="CY81" i="14"/>
  <c r="DS81" i="14" s="1"/>
  <c r="DZ81" i="14" s="1"/>
  <c r="EE81" i="14" s="1"/>
  <c r="CJ81" i="14"/>
  <c r="DY72" i="12"/>
  <c r="ED71" i="12" s="1"/>
  <c r="EQ77" i="12" s="1"/>
  <c r="FA77" i="12" s="1"/>
  <c r="CS40" i="14"/>
  <c r="J40" i="14"/>
  <c r="CK156" i="13"/>
  <c r="CZ156" i="13"/>
  <c r="DT156" i="13" s="1"/>
  <c r="CN156" i="13"/>
  <c r="DA156" i="13"/>
  <c r="DU156" i="13" s="1"/>
  <c r="CX158" i="13"/>
  <c r="DR158" i="13" s="1"/>
  <c r="DY158" i="13" s="1"/>
  <c r="ED158" i="13" s="1"/>
  <c r="CF158" i="13"/>
  <c r="CZ96" i="12"/>
  <c r="DT96" i="12" s="1"/>
  <c r="CK96" i="12"/>
  <c r="CN80" i="14"/>
  <c r="DA80" i="14"/>
  <c r="DU80" i="14" s="1"/>
  <c r="CY97" i="12"/>
  <c r="DS97" i="12" s="1"/>
  <c r="CJ97" i="12"/>
  <c r="CY158" i="13"/>
  <c r="DS158" i="13" s="1"/>
  <c r="CJ158" i="13"/>
  <c r="ER75" i="12"/>
  <c r="FB75" i="12" s="1"/>
  <c r="ER76" i="12"/>
  <c r="FB76" i="12" s="1"/>
  <c r="ER74" i="12"/>
  <c r="FB74" i="12" s="1"/>
  <c r="EQ106" i="13"/>
  <c r="EY106" i="13" s="1"/>
  <c r="FI106" i="13" s="1"/>
  <c r="EQ108" i="13"/>
  <c r="EY108" i="13" s="1"/>
  <c r="FI108" i="13" s="1"/>
  <c r="EQ105" i="13"/>
  <c r="EY105" i="13" s="1"/>
  <c r="FI105" i="13" s="1"/>
  <c r="EQ103" i="13"/>
  <c r="EQ107" i="13"/>
  <c r="EY107" i="13" s="1"/>
  <c r="FI107" i="13" s="1"/>
  <c r="EQ104" i="13"/>
  <c r="EY104" i="13" s="1"/>
  <c r="FI104" i="13" s="1"/>
  <c r="EQ109" i="13"/>
  <c r="EY109" i="13" s="1"/>
  <c r="FI109" i="13" s="1"/>
  <c r="DZ106" i="13"/>
  <c r="EE106" i="13" s="1"/>
  <c r="ER120" i="13" s="1"/>
  <c r="EZ120" i="13" s="1"/>
  <c r="FJ120" i="13" s="1"/>
  <c r="CZ146" i="13"/>
  <c r="DT146" i="13" s="1"/>
  <c r="CK146" i="13"/>
  <c r="CY91" i="12"/>
  <c r="DS91" i="12" s="1"/>
  <c r="DZ91" i="12" s="1"/>
  <c r="CJ91" i="12"/>
  <c r="CK80" i="14"/>
  <c r="CZ80" i="14"/>
  <c r="DT80" i="14" s="1"/>
  <c r="CK148" i="13"/>
  <c r="CZ148" i="13"/>
  <c r="DT148" i="13" s="1"/>
  <c r="CY148" i="13"/>
  <c r="DS148" i="13" s="1"/>
  <c r="CJ148" i="13"/>
  <c r="CZ97" i="12"/>
  <c r="DT97" i="12" s="1"/>
  <c r="CK97" i="12"/>
  <c r="DY36" i="14"/>
  <c r="CF149" i="13"/>
  <c r="CX149" i="13"/>
  <c r="DR149" i="13" s="1"/>
  <c r="CK83" i="14"/>
  <c r="CZ83" i="14"/>
  <c r="DT83" i="14" s="1"/>
  <c r="CY155" i="13"/>
  <c r="DS155" i="13" s="1"/>
  <c r="CJ155" i="13"/>
  <c r="DY105" i="13"/>
  <c r="ED105" i="13" s="1"/>
  <c r="DZ39" i="14"/>
  <c r="EE39" i="14" s="1"/>
  <c r="CZ85" i="14"/>
  <c r="DT85" i="14" s="1"/>
  <c r="CK85" i="14"/>
  <c r="DZ62" i="12"/>
  <c r="EE62" i="12" s="1"/>
  <c r="CK92" i="12"/>
  <c r="CZ92" i="12"/>
  <c r="DT92" i="12" s="1"/>
  <c r="CX92" i="12"/>
  <c r="DR92" i="12" s="1"/>
  <c r="CF92" i="12"/>
  <c r="DZ108" i="13"/>
  <c r="EE108" i="13" s="1"/>
  <c r="DZ70" i="12"/>
  <c r="EE69" i="12" s="1"/>
  <c r="CX90" i="12"/>
  <c r="DR90" i="12" s="1"/>
  <c r="CF90" i="12"/>
  <c r="CY90" i="12"/>
  <c r="DS90" i="12" s="1"/>
  <c r="DZ90" i="12" s="1"/>
  <c r="CJ90" i="12"/>
  <c r="DY115" i="13"/>
  <c r="ED115" i="13" s="1"/>
  <c r="DZ110" i="13"/>
  <c r="EE110" i="13" s="1"/>
  <c r="CS115" i="13"/>
  <c r="DZ103" i="13"/>
  <c r="EE103" i="13" s="1"/>
  <c r="EQ137" i="13"/>
  <c r="EQ136" i="13"/>
  <c r="EY136" i="13" s="1"/>
  <c r="FI136" i="13" s="1"/>
  <c r="CJ153" i="13"/>
  <c r="CY153" i="13"/>
  <c r="DS153" i="13" s="1"/>
  <c r="DZ153" i="13" s="1"/>
  <c r="EE153" i="13" s="1"/>
  <c r="CZ158" i="13"/>
  <c r="DT158" i="13" s="1"/>
  <c r="CK158" i="13"/>
  <c r="CN93" i="12"/>
  <c r="DA93" i="12"/>
  <c r="DU93" i="12" s="1"/>
  <c r="CS64" i="12"/>
  <c r="J64" i="12"/>
  <c r="DZ37" i="14"/>
  <c r="EE37" i="14" s="1"/>
  <c r="DA84" i="14"/>
  <c r="DU84" i="14" s="1"/>
  <c r="CN84" i="14"/>
  <c r="CY152" i="13"/>
  <c r="DS152" i="13" s="1"/>
  <c r="DZ152" i="13" s="1"/>
  <c r="EE152" i="13" s="1"/>
  <c r="CJ152" i="13"/>
  <c r="DY71" i="12"/>
  <c r="ED70" i="12" s="1"/>
  <c r="DY108" i="13"/>
  <c r="ED108" i="13" s="1"/>
  <c r="CN148" i="13"/>
  <c r="DA148" i="13"/>
  <c r="DU148" i="13" s="1"/>
  <c r="CS17" i="15"/>
  <c r="J17" i="15"/>
  <c r="DY73" i="12"/>
  <c r="ED72" i="12" s="1"/>
  <c r="CS82" i="14"/>
  <c r="CN85" i="14"/>
  <c r="DA85" i="14"/>
  <c r="DU85" i="14" s="1"/>
  <c r="CF151" i="13"/>
  <c r="CX151" i="13"/>
  <c r="DR151" i="13" s="1"/>
  <c r="DY151" i="13" s="1"/>
  <c r="ED151" i="13" s="1"/>
  <c r="CN154" i="13"/>
  <c r="DA154" i="13"/>
  <c r="DU154" i="13" s="1"/>
  <c r="DY17" i="15"/>
  <c r="DZ66" i="12"/>
  <c r="EE66" i="12" s="1"/>
  <c r="DY38" i="14"/>
  <c r="ED38" i="14" s="1"/>
  <c r="CY156" i="13"/>
  <c r="DS156" i="13" s="1"/>
  <c r="CJ156" i="13"/>
  <c r="CN150" i="13"/>
  <c r="DA150" i="13"/>
  <c r="DU150" i="13" s="1"/>
  <c r="CK150" i="13"/>
  <c r="CZ150" i="13"/>
  <c r="DT150" i="13" s="1"/>
  <c r="DA90" i="12"/>
  <c r="DU90" i="12" s="1"/>
  <c r="CN90" i="12"/>
  <c r="DZ64" i="12"/>
  <c r="EE64" i="12" s="1"/>
  <c r="ER66" i="12" s="1"/>
  <c r="FB66" i="12" s="1"/>
  <c r="DZ97" i="8"/>
  <c r="DZ50" i="8"/>
  <c r="DY54" i="8"/>
  <c r="DY103" i="8"/>
  <c r="DY99" i="8"/>
  <c r="DZ98" i="8"/>
  <c r="DY98" i="8"/>
  <c r="DY95" i="8"/>
  <c r="ER94" i="8" s="1"/>
  <c r="DY100" i="8"/>
  <c r="DZ96" i="8"/>
  <c r="DZ95" i="8"/>
  <c r="ES94" i="8" s="1"/>
  <c r="DY101" i="8"/>
  <c r="DY102" i="8"/>
  <c r="DY104" i="8"/>
  <c r="DY51" i="8"/>
  <c r="DZ103" i="8"/>
  <c r="DZ99" i="8"/>
  <c r="DZ102" i="8"/>
  <c r="DZ101" i="8"/>
  <c r="DZ100" i="8"/>
  <c r="DY97" i="8"/>
  <c r="DY96" i="8"/>
  <c r="DZ51" i="8"/>
  <c r="DZ104" i="8"/>
  <c r="DY46" i="8"/>
  <c r="DY53" i="8"/>
  <c r="DZ45" i="8"/>
  <c r="ES45" i="8" s="1"/>
  <c r="DZ54" i="8"/>
  <c r="DY50" i="8"/>
  <c r="DZ47" i="8"/>
  <c r="DY48" i="8"/>
  <c r="DZ49" i="8"/>
  <c r="DZ48" i="8"/>
  <c r="DZ52" i="8"/>
  <c r="DY52" i="8"/>
  <c r="DY49" i="8"/>
  <c r="DZ46" i="8"/>
  <c r="DY45" i="8"/>
  <c r="DZ53" i="8"/>
  <c r="DY47" i="8"/>
  <c r="CS104" i="8"/>
  <c r="J50" i="8"/>
  <c r="J106" i="8"/>
  <c r="CS54" i="8"/>
  <c r="J54" i="8"/>
  <c r="CS99" i="8"/>
  <c r="J99" i="8"/>
  <c r="CS105" i="8"/>
  <c r="J105" i="8"/>
  <c r="CS45" i="8"/>
  <c r="J45" i="8"/>
  <c r="CS47" i="8"/>
  <c r="J47" i="8"/>
  <c r="CS95" i="8"/>
  <c r="J95" i="8"/>
  <c r="CS49" i="8"/>
  <c r="J49" i="8"/>
  <c r="CS100" i="8"/>
  <c r="J100" i="8"/>
  <c r="CS48" i="8"/>
  <c r="J48" i="8"/>
  <c r="CS52" i="8"/>
  <c r="J52" i="8"/>
  <c r="CS98" i="8"/>
  <c r="J98" i="8"/>
  <c r="CS56" i="8"/>
  <c r="J56" i="8"/>
  <c r="CS103" i="8"/>
  <c r="J103" i="8"/>
  <c r="CS51" i="8"/>
  <c r="J51" i="8"/>
  <c r="CS55" i="8"/>
  <c r="J55" i="8"/>
  <c r="CS101" i="8"/>
  <c r="J101" i="8"/>
  <c r="CS46" i="8"/>
  <c r="J46" i="8"/>
  <c r="CS96" i="8"/>
  <c r="J96" i="8"/>
  <c r="CS97" i="8"/>
  <c r="J97" i="8"/>
  <c r="CS53" i="8"/>
  <c r="J53" i="8"/>
  <c r="CS102" i="8"/>
  <c r="J102" i="8"/>
  <c r="C69" i="3"/>
  <c r="D69" i="3"/>
  <c r="E69" i="3"/>
  <c r="B69" i="3"/>
  <c r="DZ147" i="13" l="1"/>
  <c r="EE147" i="13" s="1"/>
  <c r="DY153" i="13"/>
  <c r="ED153" i="13" s="1"/>
  <c r="DZ156" i="13"/>
  <c r="EE156" i="13" s="1"/>
  <c r="ER178" i="13" s="1"/>
  <c r="EZ178" i="13" s="1"/>
  <c r="DY149" i="13"/>
  <c r="ED149" i="13" s="1"/>
  <c r="DY146" i="13"/>
  <c r="ED146" i="13" s="1"/>
  <c r="ED116" i="13"/>
  <c r="ED63" i="12"/>
  <c r="EQ65" i="12" s="1"/>
  <c r="FA65" i="12" s="1"/>
  <c r="ED64" i="12"/>
  <c r="EQ66" i="12" s="1"/>
  <c r="FA66" i="12" s="1"/>
  <c r="DY97" i="12"/>
  <c r="ED96" i="12" s="1"/>
  <c r="DY92" i="12"/>
  <c r="ED92" i="12" s="1"/>
  <c r="DY89" i="12"/>
  <c r="DZ95" i="12"/>
  <c r="EE94" i="12" s="1"/>
  <c r="DY90" i="12"/>
  <c r="DZ80" i="14"/>
  <c r="EE80" i="14" s="1"/>
  <c r="DZ155" i="13"/>
  <c r="EE155" i="13" s="1"/>
  <c r="ED62" i="12"/>
  <c r="EQ64" i="12" s="1"/>
  <c r="FA64" i="12" s="1"/>
  <c r="ER64" i="12"/>
  <c r="FB64" i="12" s="1"/>
  <c r="EE74" i="12"/>
  <c r="DY85" i="14"/>
  <c r="ED85" i="14" s="1"/>
  <c r="DY154" i="13"/>
  <c r="ED154" i="13" s="1"/>
  <c r="EQ175" i="13" s="1"/>
  <c r="EY175" i="13" s="1"/>
  <c r="EQ81" i="12"/>
  <c r="FA81" i="12" s="1"/>
  <c r="EQ80" i="12"/>
  <c r="FA80" i="12" s="1"/>
  <c r="DY79" i="14"/>
  <c r="EQ173" i="13"/>
  <c r="EY173" i="13" s="1"/>
  <c r="EQ174" i="13"/>
  <c r="EY174" i="13" s="1"/>
  <c r="DY99" i="12"/>
  <c r="ED98" i="12" s="1"/>
  <c r="DZ151" i="13"/>
  <c r="EE151" i="13" s="1"/>
  <c r="DZ94" i="12"/>
  <c r="DY148" i="13"/>
  <c r="ED148" i="13" s="1"/>
  <c r="DZ84" i="14"/>
  <c r="EE84" i="14" s="1"/>
  <c r="DZ88" i="12"/>
  <c r="EQ76" i="12"/>
  <c r="FA76" i="12" s="1"/>
  <c r="EQ75" i="12"/>
  <c r="FA75" i="12" s="1"/>
  <c r="EQ74" i="12"/>
  <c r="FA74" i="12" s="1"/>
  <c r="ER78" i="12"/>
  <c r="FB78" i="12" s="1"/>
  <c r="ER79" i="12"/>
  <c r="FB79" i="12" s="1"/>
  <c r="EQ100" i="12"/>
  <c r="FA100" i="12" s="1"/>
  <c r="EQ102" i="12"/>
  <c r="FA102" i="12" s="1"/>
  <c r="EQ101" i="12"/>
  <c r="FA101" i="12" s="1"/>
  <c r="EQ131" i="13"/>
  <c r="EY131" i="13" s="1"/>
  <c r="FI131" i="13" s="1"/>
  <c r="EQ130" i="13"/>
  <c r="EY130" i="13" s="1"/>
  <c r="FI130" i="13" s="1"/>
  <c r="EQ73" i="12"/>
  <c r="FA73" i="12" s="1"/>
  <c r="EQ72" i="12"/>
  <c r="FA72" i="12" s="1"/>
  <c r="EQ71" i="12"/>
  <c r="FA71" i="12" s="1"/>
  <c r="ER95" i="12"/>
  <c r="FB95" i="12" s="1"/>
  <c r="ER94" i="12"/>
  <c r="FB94" i="12" s="1"/>
  <c r="ER96" i="12"/>
  <c r="FB96" i="12" s="1"/>
  <c r="DY155" i="13"/>
  <c r="ED155" i="13" s="1"/>
  <c r="DZ60" i="15"/>
  <c r="DZ92" i="12"/>
  <c r="EE92" i="12" s="1"/>
  <c r="DZ157" i="13"/>
  <c r="EE157" i="13" s="1"/>
  <c r="DZ82" i="14"/>
  <c r="EE82" i="14" s="1"/>
  <c r="EY103" i="13"/>
  <c r="EQ124" i="13"/>
  <c r="EY124" i="13" s="1"/>
  <c r="FI124" i="13" s="1"/>
  <c r="EQ121" i="13"/>
  <c r="EY121" i="13" s="1"/>
  <c r="FI121" i="13" s="1"/>
  <c r="EQ123" i="13"/>
  <c r="EY123" i="13" s="1"/>
  <c r="FI123" i="13" s="1"/>
  <c r="EQ122" i="13"/>
  <c r="EY122" i="13" s="1"/>
  <c r="FI122" i="13" s="1"/>
  <c r="ER106" i="13"/>
  <c r="EZ106" i="13" s="1"/>
  <c r="FJ106" i="13" s="1"/>
  <c r="ER105" i="13"/>
  <c r="EZ105" i="13" s="1"/>
  <c r="FJ105" i="13" s="1"/>
  <c r="ER103" i="13"/>
  <c r="ER108" i="13"/>
  <c r="EZ108" i="13" s="1"/>
  <c r="FJ108" i="13" s="1"/>
  <c r="ER104" i="13"/>
  <c r="EZ104" i="13" s="1"/>
  <c r="FJ104" i="13" s="1"/>
  <c r="ER107" i="13"/>
  <c r="EZ107" i="13" s="1"/>
  <c r="FJ107" i="13" s="1"/>
  <c r="ER109" i="13"/>
  <c r="EZ109" i="13" s="1"/>
  <c r="FJ109" i="13" s="1"/>
  <c r="ER72" i="12"/>
  <c r="FB72" i="12" s="1"/>
  <c r="ER71" i="12"/>
  <c r="FB71" i="12" s="1"/>
  <c r="ER73" i="12"/>
  <c r="FB73" i="12" s="1"/>
  <c r="ER62" i="12"/>
  <c r="ER63" i="12"/>
  <c r="FB63" i="12" s="1"/>
  <c r="ER121" i="13"/>
  <c r="EZ121" i="13" s="1"/>
  <c r="FJ121" i="13" s="1"/>
  <c r="ER123" i="13"/>
  <c r="EZ123" i="13" s="1"/>
  <c r="FJ123" i="13" s="1"/>
  <c r="ER124" i="13"/>
  <c r="EZ124" i="13" s="1"/>
  <c r="FJ124" i="13" s="1"/>
  <c r="ER122" i="13"/>
  <c r="EZ122" i="13" s="1"/>
  <c r="FJ122" i="13" s="1"/>
  <c r="DZ146" i="13"/>
  <c r="EE146" i="13" s="1"/>
  <c r="DY150" i="13"/>
  <c r="ED150" i="13" s="1"/>
  <c r="EQ163" i="13" s="1"/>
  <c r="EY163" i="13" s="1"/>
  <c r="DY84" i="14"/>
  <c r="ED84" i="14" s="1"/>
  <c r="DZ93" i="12"/>
  <c r="EE93" i="12" s="1"/>
  <c r="EQ62" i="12"/>
  <c r="EQ63" i="12"/>
  <c r="FA63" i="12" s="1"/>
  <c r="DY94" i="12"/>
  <c r="ED90" i="12" s="1"/>
  <c r="EQ92" i="12" s="1"/>
  <c r="FA92" i="12" s="1"/>
  <c r="EQ118" i="13"/>
  <c r="EY118" i="13" s="1"/>
  <c r="FI118" i="13" s="1"/>
  <c r="EQ117" i="13"/>
  <c r="EY117" i="13" s="1"/>
  <c r="FI117" i="13" s="1"/>
  <c r="EQ116" i="13"/>
  <c r="EY116" i="13" s="1"/>
  <c r="FI116" i="13" s="1"/>
  <c r="EQ119" i="13"/>
  <c r="EY119" i="13" s="1"/>
  <c r="FI119" i="13" s="1"/>
  <c r="DY24" i="15"/>
  <c r="ED24" i="15" s="1"/>
  <c r="EQ17" i="15" s="1"/>
  <c r="ED17" i="15"/>
  <c r="EQ79" i="12"/>
  <c r="FA79" i="12" s="1"/>
  <c r="EQ78" i="12"/>
  <c r="FA78" i="12" s="1"/>
  <c r="ER171" i="13"/>
  <c r="EZ171" i="13" s="1"/>
  <c r="ER170" i="13"/>
  <c r="EZ170" i="13" s="1"/>
  <c r="ER168" i="13"/>
  <c r="EZ168" i="13" s="1"/>
  <c r="ER169" i="13"/>
  <c r="EZ169" i="13" s="1"/>
  <c r="ER172" i="13"/>
  <c r="EZ172" i="13" s="1"/>
  <c r="ER131" i="13"/>
  <c r="EZ131" i="13" s="1"/>
  <c r="FJ131" i="13" s="1"/>
  <c r="ER130" i="13"/>
  <c r="EZ130" i="13" s="1"/>
  <c r="FJ130" i="13" s="1"/>
  <c r="ED36" i="14"/>
  <c r="ED44" i="14" s="1"/>
  <c r="DY43" i="14"/>
  <c r="ED43" i="14" s="1"/>
  <c r="EQ36" i="14" s="1"/>
  <c r="DY80" i="14"/>
  <c r="ED80" i="14" s="1"/>
  <c r="ER98" i="12"/>
  <c r="FB98" i="12" s="1"/>
  <c r="ER97" i="12"/>
  <c r="FB97" i="12" s="1"/>
  <c r="ER99" i="12"/>
  <c r="FB99" i="12" s="1"/>
  <c r="ER104" i="12"/>
  <c r="FB104" i="12" s="1"/>
  <c r="ER105" i="12"/>
  <c r="FB105" i="12" s="1"/>
  <c r="DZ79" i="14"/>
  <c r="ER157" i="13"/>
  <c r="EZ157" i="13" s="1"/>
  <c r="FJ157" i="13" s="1"/>
  <c r="ER153" i="13"/>
  <c r="EZ153" i="13" s="1"/>
  <c r="FJ153" i="13" s="1"/>
  <c r="ER154" i="13"/>
  <c r="EZ154" i="13" s="1"/>
  <c r="FJ154" i="13" s="1"/>
  <c r="ER156" i="13"/>
  <c r="EZ156" i="13" s="1"/>
  <c r="FJ156" i="13" s="1"/>
  <c r="ER155" i="13"/>
  <c r="EZ155" i="13" s="1"/>
  <c r="FJ155" i="13" s="1"/>
  <c r="EE17" i="15"/>
  <c r="DZ24" i="15"/>
  <c r="EE24" i="15" s="1"/>
  <c r="ER17" i="15" s="1"/>
  <c r="ED89" i="12"/>
  <c r="EQ91" i="12" s="1"/>
  <c r="FA91" i="12" s="1"/>
  <c r="DZ100" i="12"/>
  <c r="EE99" i="12" s="1"/>
  <c r="DZ85" i="14"/>
  <c r="EE85" i="14" s="1"/>
  <c r="EQ68" i="12"/>
  <c r="FA68" i="12" s="1"/>
  <c r="EQ70" i="12"/>
  <c r="FA70" i="12" s="1"/>
  <c r="EQ69" i="12"/>
  <c r="FA69" i="12" s="1"/>
  <c r="ER137" i="13"/>
  <c r="ER136" i="13"/>
  <c r="EZ136" i="13" s="1"/>
  <c r="FJ136" i="13" s="1"/>
  <c r="DZ150" i="13"/>
  <c r="EE150" i="13" s="1"/>
  <c r="ER163" i="13" s="1"/>
  <c r="EZ163" i="13" s="1"/>
  <c r="DZ89" i="12"/>
  <c r="EE89" i="12" s="1"/>
  <c r="ER91" i="12" s="1"/>
  <c r="FB91" i="12" s="1"/>
  <c r="EQ150" i="13"/>
  <c r="EY150" i="13" s="1"/>
  <c r="FI150" i="13" s="1"/>
  <c r="EQ152" i="13"/>
  <c r="EY152" i="13" s="1"/>
  <c r="FI152" i="13" s="1"/>
  <c r="EQ146" i="13"/>
  <c r="EY146" i="13" s="1"/>
  <c r="FI146" i="13" s="1"/>
  <c r="EQ147" i="13"/>
  <c r="EY147" i="13" s="1"/>
  <c r="FI147" i="13" s="1"/>
  <c r="EQ148" i="13"/>
  <c r="EY148" i="13" s="1"/>
  <c r="FI148" i="13" s="1"/>
  <c r="EQ149" i="13"/>
  <c r="EY149" i="13" s="1"/>
  <c r="FI149" i="13" s="1"/>
  <c r="EQ151" i="13"/>
  <c r="EY151" i="13" s="1"/>
  <c r="FI151" i="13" s="1"/>
  <c r="DZ83" i="14"/>
  <c r="EE83" i="14" s="1"/>
  <c r="DZ98" i="12"/>
  <c r="EE97" i="12" s="1"/>
  <c r="ER103" i="12" s="1"/>
  <c r="FB103" i="12" s="1"/>
  <c r="DY157" i="13"/>
  <c r="ED157" i="13" s="1"/>
  <c r="DY147" i="13"/>
  <c r="ED147" i="13" s="1"/>
  <c r="DY96" i="12"/>
  <c r="ED95" i="12" s="1"/>
  <c r="DY95" i="12"/>
  <c r="ED94" i="12" s="1"/>
  <c r="ER174" i="13"/>
  <c r="EZ174" i="13" s="1"/>
  <c r="ER173" i="13"/>
  <c r="EZ173" i="13" s="1"/>
  <c r="EQ88" i="12"/>
  <c r="EQ89" i="12"/>
  <c r="FA89" i="12" s="1"/>
  <c r="EE91" i="12"/>
  <c r="ER93" i="12" s="1"/>
  <c r="FB93" i="12" s="1"/>
  <c r="EE116" i="13"/>
  <c r="EQ134" i="13"/>
  <c r="EY134" i="13" s="1"/>
  <c r="FI134" i="13" s="1"/>
  <c r="EQ133" i="13"/>
  <c r="EY133" i="13" s="1"/>
  <c r="FI133" i="13" s="1"/>
  <c r="DY81" i="14"/>
  <c r="ED81" i="14" s="1"/>
  <c r="DZ158" i="13"/>
  <c r="EE158" i="13" s="1"/>
  <c r="EQ164" i="13"/>
  <c r="EY164" i="13" s="1"/>
  <c r="EQ165" i="13"/>
  <c r="EY165" i="13" s="1"/>
  <c r="EQ167" i="13"/>
  <c r="EY167" i="13" s="1"/>
  <c r="EQ166" i="13"/>
  <c r="EY166" i="13" s="1"/>
  <c r="EE90" i="12"/>
  <c r="ER92" i="12" s="1"/>
  <c r="FB92" i="12" s="1"/>
  <c r="ER177" i="13"/>
  <c r="EZ177" i="13" s="1"/>
  <c r="ER176" i="13"/>
  <c r="EZ176" i="13" s="1"/>
  <c r="DZ97" i="12"/>
  <c r="EE96" i="12" s="1"/>
  <c r="ER116" i="13"/>
  <c r="EZ116" i="13" s="1"/>
  <c r="FJ116" i="13" s="1"/>
  <c r="ER117" i="13"/>
  <c r="EZ117" i="13" s="1"/>
  <c r="FJ117" i="13" s="1"/>
  <c r="ER119" i="13"/>
  <c r="EZ119" i="13" s="1"/>
  <c r="FJ119" i="13" s="1"/>
  <c r="ER118" i="13"/>
  <c r="EZ118" i="13" s="1"/>
  <c r="FJ118" i="13" s="1"/>
  <c r="DY156" i="13"/>
  <c r="ED156" i="13" s="1"/>
  <c r="EQ178" i="13" s="1"/>
  <c r="EY178" i="13" s="1"/>
  <c r="ER110" i="13"/>
  <c r="EZ110" i="13" s="1"/>
  <c r="FJ110" i="13" s="1"/>
  <c r="ER113" i="13"/>
  <c r="EZ113" i="13" s="1"/>
  <c r="FJ113" i="13" s="1"/>
  <c r="ER112" i="13"/>
  <c r="EZ112" i="13" s="1"/>
  <c r="FJ112" i="13" s="1"/>
  <c r="ER114" i="13"/>
  <c r="EZ114" i="13" s="1"/>
  <c r="FJ114" i="13" s="1"/>
  <c r="ER111" i="13"/>
  <c r="EZ111" i="13" s="1"/>
  <c r="FJ111" i="13" s="1"/>
  <c r="ER115" i="13"/>
  <c r="EZ115" i="13" s="1"/>
  <c r="FJ115" i="13" s="1"/>
  <c r="ER158" i="13"/>
  <c r="EZ158" i="13" s="1"/>
  <c r="DY98" i="12"/>
  <c r="ED97" i="12" s="1"/>
  <c r="EQ103" i="12" s="1"/>
  <c r="FA103" i="12" s="1"/>
  <c r="EE36" i="14"/>
  <c r="DZ43" i="14"/>
  <c r="EE43" i="14" s="1"/>
  <c r="ER36" i="14" s="1"/>
  <c r="DY88" i="12"/>
  <c r="ED88" i="12" s="1"/>
  <c r="DY93" i="12"/>
  <c r="ED93" i="12" s="1"/>
  <c r="DZ148" i="13"/>
  <c r="EE148" i="13" s="1"/>
  <c r="DZ154" i="13"/>
  <c r="EE154" i="13" s="1"/>
  <c r="ER175" i="13" s="1"/>
  <c r="EZ175" i="13" s="1"/>
  <c r="DY152" i="13"/>
  <c r="ED152" i="13" s="1"/>
  <c r="DY60" i="15"/>
  <c r="ED65" i="12"/>
  <c r="EQ67" i="12" s="1"/>
  <c r="FA67" i="12" s="1"/>
  <c r="ER45" i="8"/>
  <c r="ES132" i="8"/>
  <c r="ES138" i="8"/>
  <c r="ES137" i="8"/>
  <c r="ES136" i="8"/>
  <c r="ES135" i="8"/>
  <c r="ES134" i="8"/>
  <c r="ES133" i="8"/>
  <c r="ES49" i="8"/>
  <c r="ES48" i="8"/>
  <c r="ER96" i="8"/>
  <c r="ES116" i="8"/>
  <c r="ES108" i="8"/>
  <c r="ES100" i="8"/>
  <c r="ES109" i="8"/>
  <c r="ES115" i="8"/>
  <c r="ES107" i="8"/>
  <c r="ES99" i="8"/>
  <c r="ES114" i="8"/>
  <c r="ES106" i="8"/>
  <c r="ES101" i="8"/>
  <c r="ES113" i="8"/>
  <c r="ES105" i="8"/>
  <c r="ES117" i="8"/>
  <c r="ES112" i="8"/>
  <c r="ES104" i="8"/>
  <c r="ES111" i="8"/>
  <c r="ES103" i="8"/>
  <c r="ES110" i="8"/>
  <c r="ES102" i="8"/>
  <c r="ER49" i="8"/>
  <c r="ER48" i="8"/>
  <c r="ER80" i="8"/>
  <c r="ER79" i="8"/>
  <c r="ER78" i="8"/>
  <c r="ES46" i="8"/>
  <c r="ES47" i="8"/>
  <c r="ER75" i="8"/>
  <c r="ER74" i="8"/>
  <c r="ER73" i="8"/>
  <c r="ER72" i="8"/>
  <c r="ER77" i="8"/>
  <c r="ER76" i="8"/>
  <c r="ER98" i="8"/>
  <c r="ER97" i="8"/>
  <c r="ER131" i="8"/>
  <c r="ER130" i="8"/>
  <c r="ER120" i="8"/>
  <c r="ER119" i="8"/>
  <c r="ER118" i="8"/>
  <c r="ES78" i="8"/>
  <c r="ES79" i="8"/>
  <c r="ES80" i="8"/>
  <c r="ER71" i="8"/>
  <c r="ER70" i="8"/>
  <c r="ER69" i="8"/>
  <c r="ES124" i="8"/>
  <c r="ES123" i="8"/>
  <c r="ES122" i="8"/>
  <c r="ES121" i="8"/>
  <c r="ES125" i="8"/>
  <c r="ES126" i="8"/>
  <c r="ER129" i="8"/>
  <c r="ER128" i="8"/>
  <c r="ER127" i="8"/>
  <c r="ER138" i="8"/>
  <c r="ER132" i="8"/>
  <c r="ER137" i="8"/>
  <c r="ER136" i="8"/>
  <c r="ER135" i="8"/>
  <c r="ER134" i="8"/>
  <c r="ER133" i="8"/>
  <c r="ES70" i="8"/>
  <c r="ES69" i="8"/>
  <c r="ES71" i="8"/>
  <c r="ES86" i="8"/>
  <c r="ES85" i="8"/>
  <c r="ES84" i="8"/>
  <c r="ES83" i="8"/>
  <c r="ES89" i="8"/>
  <c r="ES88" i="8"/>
  <c r="ES87" i="8"/>
  <c r="ES82" i="8"/>
  <c r="ES81" i="8"/>
  <c r="ER83" i="8"/>
  <c r="ER89" i="8"/>
  <c r="ER84" i="8"/>
  <c r="ER88" i="8"/>
  <c r="ER87" i="8"/>
  <c r="ER86" i="8"/>
  <c r="ER85" i="8"/>
  <c r="ES131" i="8"/>
  <c r="ES130" i="8"/>
  <c r="ES96" i="8"/>
  <c r="ES77" i="8"/>
  <c r="ES76" i="8"/>
  <c r="ES75" i="8"/>
  <c r="ES74" i="8"/>
  <c r="ES73" i="8"/>
  <c r="ES72" i="8"/>
  <c r="ER67" i="8"/>
  <c r="ER59" i="8"/>
  <c r="ER51" i="8"/>
  <c r="ER66" i="8"/>
  <c r="ER58" i="8"/>
  <c r="ER50" i="8"/>
  <c r="ER65" i="8"/>
  <c r="ER57" i="8"/>
  <c r="ER64" i="8"/>
  <c r="ER56" i="8"/>
  <c r="ER60" i="8"/>
  <c r="ER63" i="8"/>
  <c r="ER55" i="8"/>
  <c r="ER68" i="8"/>
  <c r="ER62" i="8"/>
  <c r="ER54" i="8"/>
  <c r="ER52" i="8"/>
  <c r="ER61" i="8"/>
  <c r="ER53" i="8"/>
  <c r="ER115" i="8"/>
  <c r="ER107" i="8"/>
  <c r="ER99" i="8"/>
  <c r="ER114" i="8"/>
  <c r="ER106" i="8"/>
  <c r="ER113" i="8"/>
  <c r="ER105" i="8"/>
  <c r="ER100" i="8"/>
  <c r="ER112" i="8"/>
  <c r="ER104" i="8"/>
  <c r="ER108" i="8"/>
  <c r="ER111" i="8"/>
  <c r="ER103" i="8"/>
  <c r="ER110" i="8"/>
  <c r="ER102" i="8"/>
  <c r="ER116" i="8"/>
  <c r="ER117" i="8"/>
  <c r="ER109" i="8"/>
  <c r="ER101" i="8"/>
  <c r="ER82" i="8"/>
  <c r="ER81" i="8"/>
  <c r="ES129" i="8"/>
  <c r="ES128" i="8"/>
  <c r="ES127" i="8"/>
  <c r="ES62" i="8"/>
  <c r="ES54" i="8"/>
  <c r="ES61" i="8"/>
  <c r="ES53" i="8"/>
  <c r="ES68" i="8"/>
  <c r="ES60" i="8"/>
  <c r="ES52" i="8"/>
  <c r="ES67" i="8"/>
  <c r="ES59" i="8"/>
  <c r="ES51" i="8"/>
  <c r="ES66" i="8"/>
  <c r="ES58" i="8"/>
  <c r="ES63" i="8"/>
  <c r="ES65" i="8"/>
  <c r="ES57" i="8"/>
  <c r="ES55" i="8"/>
  <c r="ES64" i="8"/>
  <c r="ES56" i="8"/>
  <c r="ER47" i="8"/>
  <c r="ER46" i="8"/>
  <c r="ES120" i="8"/>
  <c r="ES119" i="8"/>
  <c r="ES118" i="8"/>
  <c r="ER123" i="8"/>
  <c r="ER122" i="8"/>
  <c r="ER121" i="8"/>
  <c r="ER124" i="8"/>
  <c r="ER126" i="8"/>
  <c r="ER125" i="8"/>
  <c r="ES98" i="8"/>
  <c r="ES97" i="8"/>
  <c r="DZ105" i="8"/>
  <c r="DY105" i="8"/>
  <c r="DY55" i="8"/>
  <c r="DZ55" i="8"/>
  <c r="ED25" i="15" l="1"/>
  <c r="ED159" i="13"/>
  <c r="ED91" i="12"/>
  <c r="EQ93" i="12" s="1"/>
  <c r="FA93" i="12" s="1"/>
  <c r="EQ138" i="13"/>
  <c r="EE159" i="13"/>
  <c r="ED74" i="12"/>
  <c r="EF62" i="12"/>
  <c r="EQ180" i="13"/>
  <c r="EQ179" i="13"/>
  <c r="EY179" i="13" s="1"/>
  <c r="EQ162" i="13"/>
  <c r="EY162" i="13" s="1"/>
  <c r="FI162" i="13" s="1"/>
  <c r="EQ161" i="13"/>
  <c r="EY161" i="13" s="1"/>
  <c r="EQ160" i="13"/>
  <c r="EY160" i="13" s="1"/>
  <c r="ED79" i="14"/>
  <c r="DY86" i="14"/>
  <c r="ED86" i="14" s="1"/>
  <c r="EQ79" i="14" s="1"/>
  <c r="ER160" i="13"/>
  <c r="EZ160" i="13" s="1"/>
  <c r="ER161" i="13"/>
  <c r="EZ161" i="13" s="1"/>
  <c r="ER162" i="13"/>
  <c r="EZ162" i="13" s="1"/>
  <c r="FJ162" i="13" s="1"/>
  <c r="ER148" i="13"/>
  <c r="EZ148" i="13" s="1"/>
  <c r="FJ148" i="13" s="1"/>
  <c r="ER150" i="13"/>
  <c r="EZ150" i="13" s="1"/>
  <c r="FJ150" i="13" s="1"/>
  <c r="ER152" i="13"/>
  <c r="EZ152" i="13" s="1"/>
  <c r="FJ152" i="13" s="1"/>
  <c r="ER151" i="13"/>
  <c r="EZ151" i="13" s="1"/>
  <c r="FJ151" i="13" s="1"/>
  <c r="ER147" i="13"/>
  <c r="EZ147" i="13" s="1"/>
  <c r="FJ147" i="13" s="1"/>
  <c r="ER146" i="13"/>
  <c r="EZ146" i="13" s="1"/>
  <c r="FJ146" i="13" s="1"/>
  <c r="ER149" i="13"/>
  <c r="EZ149" i="13" s="1"/>
  <c r="FJ149" i="13" s="1"/>
  <c r="ER180" i="13"/>
  <c r="ER179" i="13"/>
  <c r="EZ179" i="13" s="1"/>
  <c r="EQ107" i="12"/>
  <c r="FA107" i="12" s="1"/>
  <c r="EQ106" i="12"/>
  <c r="FA106" i="12" s="1"/>
  <c r="FA88" i="12"/>
  <c r="C2" i="49"/>
  <c r="EZ36" i="14"/>
  <c r="ER88" i="12"/>
  <c r="ER89" i="12"/>
  <c r="FB89" i="12" s="1"/>
  <c r="ER165" i="13"/>
  <c r="EZ165" i="13" s="1"/>
  <c r="ER166" i="13"/>
  <c r="EZ166" i="13" s="1"/>
  <c r="ER167" i="13"/>
  <c r="EZ167" i="13" s="1"/>
  <c r="ER164" i="13"/>
  <c r="EZ164" i="13" s="1"/>
  <c r="EQ90" i="12"/>
  <c r="FA90" i="12" s="1"/>
  <c r="ED100" i="12"/>
  <c r="ER102" i="12"/>
  <c r="FB102" i="12" s="1"/>
  <c r="ER101" i="12"/>
  <c r="FB101" i="12" s="1"/>
  <c r="ER100" i="12"/>
  <c r="FB100" i="12" s="1"/>
  <c r="EE79" i="14"/>
  <c r="DZ86" i="14"/>
  <c r="EE86" i="14" s="1"/>
  <c r="ER79" i="14" s="1"/>
  <c r="FA36" i="14"/>
  <c r="C2" i="51"/>
  <c r="C2" i="57"/>
  <c r="FB17" i="15"/>
  <c r="EE60" i="15"/>
  <c r="DZ67" i="15"/>
  <c r="EE67" i="15" s="1"/>
  <c r="ER60" i="15" s="1"/>
  <c r="ED60" i="15"/>
  <c r="DY67" i="15"/>
  <c r="ED67" i="15" s="1"/>
  <c r="EQ60" i="15" s="1"/>
  <c r="EE44" i="14"/>
  <c r="EQ96" i="12"/>
  <c r="FA96" i="12" s="1"/>
  <c r="EQ95" i="12"/>
  <c r="FA95" i="12" s="1"/>
  <c r="EQ94" i="12"/>
  <c r="FA94" i="12" s="1"/>
  <c r="EE25" i="15"/>
  <c r="FA62" i="12"/>
  <c r="EQ82" i="12"/>
  <c r="C2" i="29" s="1"/>
  <c r="EQ177" i="13"/>
  <c r="EY177" i="13" s="1"/>
  <c r="FI177" i="13" s="1"/>
  <c r="EQ176" i="13"/>
  <c r="EY176" i="13" s="1"/>
  <c r="FI176" i="13" s="1"/>
  <c r="EQ104" i="12"/>
  <c r="FA104" i="12" s="1"/>
  <c r="EQ105" i="12"/>
  <c r="FA105" i="12" s="1"/>
  <c r="EQ168" i="13"/>
  <c r="EY168" i="13" s="1"/>
  <c r="FI168" i="13" s="1"/>
  <c r="EQ169" i="13"/>
  <c r="EY169" i="13" s="1"/>
  <c r="FI169" i="13" s="1"/>
  <c r="EQ172" i="13"/>
  <c r="EY172" i="13" s="1"/>
  <c r="EQ171" i="13"/>
  <c r="EY171" i="13" s="1"/>
  <c r="EQ170" i="13"/>
  <c r="EY170" i="13" s="1"/>
  <c r="FI170" i="13" s="1"/>
  <c r="EQ99" i="12"/>
  <c r="FA99" i="12" s="1"/>
  <c r="EQ98" i="12"/>
  <c r="FA98" i="12" s="1"/>
  <c r="EQ97" i="12"/>
  <c r="FA97" i="12" s="1"/>
  <c r="FA17" i="15"/>
  <c r="C2" i="55"/>
  <c r="ER107" i="12"/>
  <c r="FB107" i="12" s="1"/>
  <c r="ER106" i="12"/>
  <c r="FB106" i="12" s="1"/>
  <c r="EE88" i="12"/>
  <c r="EF88" i="12" s="1"/>
  <c r="EQ156" i="13"/>
  <c r="EY156" i="13" s="1"/>
  <c r="FI156" i="13" s="1"/>
  <c r="EQ153" i="13"/>
  <c r="EY153" i="13" s="1"/>
  <c r="FI153" i="13" s="1"/>
  <c r="EQ155" i="13"/>
  <c r="EY155" i="13" s="1"/>
  <c r="FI155" i="13" s="1"/>
  <c r="EQ154" i="13"/>
  <c r="EY154" i="13" s="1"/>
  <c r="FI154" i="13" s="1"/>
  <c r="EQ157" i="13"/>
  <c r="EY157" i="13" s="1"/>
  <c r="FI157" i="13" s="1"/>
  <c r="FB62" i="12"/>
  <c r="ER82" i="12"/>
  <c r="C2" i="31" s="1"/>
  <c r="EZ103" i="13"/>
  <c r="ER138" i="13"/>
  <c r="FI103" i="13"/>
  <c r="FI137" i="13" s="1"/>
  <c r="EY138" i="13"/>
  <c r="EI90" i="8"/>
  <c r="ES50" i="8"/>
  <c r="EH139" i="8"/>
  <c r="ER95" i="8"/>
  <c r="EH90" i="8"/>
  <c r="EI139" i="8"/>
  <c r="ES95" i="8"/>
  <c r="FI175" i="13"/>
  <c r="FI171" i="13"/>
  <c r="FI167" i="13"/>
  <c r="FI164" i="13"/>
  <c r="FI165" i="13"/>
  <c r="FI163" i="13"/>
  <c r="FI166" i="13"/>
  <c r="FJ179" i="13"/>
  <c r="FJ178" i="13"/>
  <c r="FI174" i="13"/>
  <c r="FJ177" i="13"/>
  <c r="EQ108" i="12" l="1"/>
  <c r="C2" i="30" s="1"/>
  <c r="FA79" i="14"/>
  <c r="C2" i="52"/>
  <c r="EZ79" i="14"/>
  <c r="C2" i="50"/>
  <c r="FB60" i="15"/>
  <c r="C2" i="58"/>
  <c r="EE87" i="14"/>
  <c r="ED87" i="14"/>
  <c r="ER90" i="12"/>
  <c r="FB90" i="12" s="1"/>
  <c r="EE100" i="12"/>
  <c r="FA60" i="15"/>
  <c r="C2" i="56"/>
  <c r="FJ103" i="13"/>
  <c r="FJ137" i="13" s="1"/>
  <c r="EZ138" i="13"/>
  <c r="EZ137" i="13" s="1"/>
  <c r="FB88" i="12"/>
  <c r="B2" i="17"/>
  <c r="B2" i="24"/>
  <c r="B2" i="19"/>
  <c r="B2" i="26"/>
  <c r="B2" i="23"/>
  <c r="B2" i="16"/>
  <c r="B2" i="25"/>
  <c r="B2" i="18"/>
  <c r="FJ175" i="13"/>
  <c r="FJ176" i="13"/>
  <c r="FJ163" i="13"/>
  <c r="FJ166" i="13"/>
  <c r="FJ164" i="13"/>
  <c r="FJ165" i="13"/>
  <c r="EQ159" i="13"/>
  <c r="FI160" i="13"/>
  <c r="FI161" i="13"/>
  <c r="FJ160" i="13"/>
  <c r="FJ161" i="13"/>
  <c r="ER159" i="13"/>
  <c r="FJ172" i="13"/>
  <c r="FJ173" i="13"/>
  <c r="FJ174" i="13"/>
  <c r="FJ167" i="13"/>
  <c r="FJ168" i="13"/>
  <c r="FJ171" i="13"/>
  <c r="FJ169" i="13"/>
  <c r="FJ170" i="13"/>
  <c r="FI179" i="13"/>
  <c r="FI178" i="13"/>
  <c r="FI172" i="13"/>
  <c r="FI173" i="13"/>
  <c r="ER108" i="12" l="1"/>
  <c r="C2" i="32" s="1"/>
  <c r="C2" i="37"/>
  <c r="C2" i="18"/>
  <c r="FJ158" i="13"/>
  <c r="EZ159" i="13"/>
  <c r="FI158" i="13"/>
  <c r="EY159" i="13"/>
  <c r="ER181" i="13"/>
  <c r="EQ181" i="13"/>
  <c r="FI159" i="13" l="1"/>
  <c r="EY181" i="13"/>
  <c r="EY180" i="13" s="1"/>
  <c r="C2" i="17" s="1"/>
  <c r="FJ159" i="13"/>
  <c r="FJ180" i="13" s="1"/>
  <c r="EZ181" i="13"/>
  <c r="EZ180" i="13" s="1"/>
  <c r="C2" i="19" s="1"/>
  <c r="FI180" i="13"/>
  <c r="C2" i="38" l="1"/>
  <c r="C2" i="36"/>
  <c r="ER139" i="8"/>
  <c r="ES139" i="8"/>
  <c r="ES90" i="8"/>
  <c r="ER90" i="8"/>
  <c r="EY137" i="13" l="1"/>
  <c r="C2" i="35" l="1"/>
  <c r="C2" i="16"/>
</calcChain>
</file>

<file path=xl/comments1.xml><?xml version="1.0" encoding="utf-8"?>
<comments xmlns="http://schemas.openxmlformats.org/spreadsheetml/2006/main">
  <authors>
    <author>Author</author>
  </authors>
  <commentList>
    <comment ref="C6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Author:
</t>
        </r>
        <r>
          <rPr>
            <sz val="9"/>
            <color indexed="81"/>
            <rFont val="돋움"/>
            <family val="3"/>
            <charset val="129"/>
          </rPr>
          <t>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장항공공주택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상주인구의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나와있으므로</t>
        </r>
        <r>
          <rPr>
            <sz val="9"/>
            <color indexed="81"/>
            <rFont val="Tahoma"/>
            <family val="2"/>
          </rPr>
          <t xml:space="preserve">,
 </t>
        </r>
        <r>
          <rPr>
            <sz val="9"/>
            <color indexed="81"/>
            <rFont val="돋움"/>
            <family val="3"/>
            <charset val="129"/>
          </rPr>
          <t>유출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유입인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통행량이므로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나누어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</t>
        </r>
      </text>
    </comment>
  </commentList>
</comments>
</file>

<file path=xl/comments2.xml><?xml version="1.0" encoding="utf-8"?>
<comments xmlns="http://schemas.openxmlformats.org/spreadsheetml/2006/main">
  <authors>
    <author>Author</author>
  </authors>
  <commentList>
    <comment ref="AB59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돋움"/>
            <family val="3"/>
            <charset val="129"/>
          </rPr>
          <t>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  <r>
          <rPr>
            <b/>
            <sz val="9"/>
            <color indexed="81"/>
            <rFont val="돋움"/>
            <family val="3"/>
            <charset val="129"/>
          </rPr>
          <t>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장항공공주택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EB10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C103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도착량에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대한증가율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바로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EL11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  <comment ref="EZ137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장항공공주택지구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반영량
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돋움"/>
            <family val="3"/>
            <charset val="129"/>
          </rPr>
          <t>실제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장래개발코드로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들어감</t>
        </r>
        <r>
          <rPr>
            <sz val="9"/>
            <color indexed="81"/>
            <rFont val="Tahoma"/>
            <family val="2"/>
          </rPr>
          <t>)</t>
        </r>
      </text>
    </comment>
    <comment ref="EB1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L15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</commentList>
</comments>
</file>

<file path=xl/comments3.xml><?xml version="1.0" encoding="utf-8"?>
<comments xmlns="http://schemas.openxmlformats.org/spreadsheetml/2006/main">
  <authors>
    <author>Author</author>
  </authors>
  <commentList>
    <comment ref="Y26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B27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EB60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K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FD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</text>
    </comment>
    <comment ref="EM64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상업시설용지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  <r>
          <rPr>
            <sz val="9"/>
            <color indexed="81"/>
            <rFont val="Tahoma"/>
            <family val="2"/>
          </rPr>
          <t xml:space="preserve">. </t>
        </r>
        <r>
          <rPr>
            <sz val="9"/>
            <color indexed="81"/>
            <rFont val="돋움"/>
            <family val="3"/>
            <charset val="129"/>
          </rPr>
          <t>잘못봐서</t>
        </r>
        <r>
          <rPr>
            <sz val="9"/>
            <color indexed="81"/>
            <rFont val="Tahoma"/>
            <family val="2"/>
          </rPr>
          <t xml:space="preserve"> ID </t>
        </r>
        <r>
          <rPr>
            <sz val="9"/>
            <color indexed="81"/>
            <rFont val="돋움"/>
            <family val="3"/>
            <charset val="129"/>
          </rPr>
          <t>체계가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작업시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혼동하지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것</t>
        </r>
      </text>
    </comment>
  </commentList>
</comments>
</file>

<file path=xl/comments4.xml><?xml version="1.0" encoding="utf-8"?>
<comments xmlns="http://schemas.openxmlformats.org/spreadsheetml/2006/main">
  <authors>
    <author>Author</author>
  </authors>
  <commentList>
    <comment ref="N2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
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일산테크노밸리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EC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M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V44" authorId="0" shapeId="0">
      <text>
        <r>
          <rPr>
            <b/>
            <sz val="9"/>
            <color indexed="81"/>
            <rFont val="Tahoma"/>
            <family val="2"/>
          </rPr>
          <t xml:space="preserve">Author:
</t>
        </r>
        <r>
          <rPr>
            <b/>
            <sz val="9"/>
            <color indexed="81"/>
            <rFont val="돋움"/>
            <family val="3"/>
            <charset val="129"/>
          </rPr>
          <t>사업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장래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발생량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및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도착량으로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B176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여객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화물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교통영향평가에서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추정한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대수를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그대로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사용하였음</t>
        </r>
      </text>
    </comment>
    <comment ref="C282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282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comments5.xml><?xml version="1.0" encoding="utf-8"?>
<comments xmlns="http://schemas.openxmlformats.org/spreadsheetml/2006/main">
  <authors>
    <author>Author</author>
  </authors>
  <commentList>
    <comment ref="B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장래년도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통행량에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배포</t>
        </r>
        <r>
          <rPr>
            <sz val="9"/>
            <color indexed="81"/>
            <rFont val="Tahoma"/>
            <family val="2"/>
          </rPr>
          <t xml:space="preserve"> OD </t>
        </r>
        <r>
          <rPr>
            <sz val="9"/>
            <color indexed="81"/>
            <rFont val="돋움"/>
            <family val="3"/>
            <charset val="129"/>
          </rPr>
          <t>기준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고양시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A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버스와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승용차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택시의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동일</t>
        </r>
      </text>
    </comment>
  </commentList>
</comments>
</file>

<file path=xl/comments6.xml><?xml version="1.0" encoding="utf-8"?>
<comments xmlns="http://schemas.openxmlformats.org/spreadsheetml/2006/main">
  <authors>
    <author>Author</author>
  </authors>
  <commentList>
    <comment ref="K1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적용되어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이동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지역별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산출</t>
        </r>
      </text>
    </comment>
  </commentList>
</comments>
</file>

<file path=xl/comments7.xml><?xml version="1.0" encoding="utf-8"?>
<comments xmlns="http://schemas.openxmlformats.org/spreadsheetml/2006/main">
  <authors>
    <author>Author</author>
  </authors>
  <commentList>
    <comment ref="A1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증가량은</t>
        </r>
        <r>
          <rPr>
            <sz val="9"/>
            <color indexed="81"/>
            <rFont val="Tahoma"/>
            <family val="2"/>
          </rPr>
          <t xml:space="preserve"> 
(</t>
        </r>
        <r>
          <rPr>
            <sz val="9"/>
            <color indexed="81"/>
            <rFont val="돋움"/>
            <family val="3"/>
            <charset val="129"/>
          </rPr>
          <t>장항공공주택지구로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</t>
        </r>
        <r>
          <rPr>
            <sz val="9"/>
            <color indexed="81"/>
            <rFont val="Tahoma"/>
            <family val="2"/>
          </rPr>
          <t xml:space="preserve">)
</t>
        </r>
        <r>
          <rPr>
            <sz val="9"/>
            <color indexed="81"/>
            <rFont val="돋움"/>
            <family val="3"/>
            <charset val="129"/>
          </rPr>
          <t>이라고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가정
</t>
        </r>
        <r>
          <rPr>
            <sz val="9"/>
            <color indexed="81"/>
            <rFont val="Tahoma"/>
            <family val="2"/>
          </rPr>
          <t>25</t>
        </r>
        <r>
          <rPr>
            <sz val="9"/>
            <color indexed="81"/>
            <rFont val="돋움"/>
            <family val="3"/>
            <charset val="129"/>
          </rPr>
          <t>년까지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입주가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완료되었기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>, 
30</t>
        </r>
        <r>
          <rPr>
            <sz val="9"/>
            <color indexed="81"/>
            <rFont val="돋움"/>
            <family val="3"/>
            <charset val="129"/>
          </rPr>
          <t>년부터</t>
        </r>
        <r>
          <rPr>
            <sz val="9"/>
            <color indexed="81"/>
            <rFont val="Tahoma"/>
            <family val="2"/>
          </rPr>
          <t xml:space="preserve"> 50</t>
        </r>
        <r>
          <rPr>
            <sz val="9"/>
            <color indexed="81"/>
            <rFont val="돋움"/>
            <family val="3"/>
            <charset val="129"/>
          </rPr>
          <t>년까지는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장항공공주택지구의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반영하여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적용
</t>
        </r>
        <r>
          <rPr>
            <sz val="9"/>
            <color indexed="81"/>
            <rFont val="Tahoma"/>
            <family val="2"/>
          </rPr>
          <t xml:space="preserve">&amp;&amp;&amp;
</t>
        </r>
        <r>
          <rPr>
            <sz val="9"/>
            <color indexed="81"/>
            <rFont val="돋움"/>
            <family val="3"/>
            <charset val="129"/>
          </rPr>
          <t>일산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동구에는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 xml:space="preserve"> 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개발계획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계획이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</text>
    </comment>
  </commentList>
</comments>
</file>

<file path=xl/comments8.xml><?xml version="1.0" encoding="utf-8"?>
<comments xmlns="http://schemas.openxmlformats.org/spreadsheetml/2006/main">
  <authors>
    <author>Author</author>
  </authors>
  <commentLis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C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sharedStrings.xml><?xml version="1.0" encoding="utf-8"?>
<sst xmlns="http://schemas.openxmlformats.org/spreadsheetml/2006/main" count="6926" uniqueCount="911">
  <si>
    <t>pp-68</t>
    <phoneticPr fontId="2" type="noConversion"/>
  </si>
  <si>
    <t>구분</t>
  </si>
  <si>
    <r>
      <t>세대수</t>
    </r>
    <r>
      <rPr>
        <b/>
        <sz val="10"/>
        <color rgb="FF000000"/>
        <rFont val="맑은 고딕"/>
        <family val="3"/>
        <charset val="129"/>
        <scheme val="minor"/>
      </rPr>
      <t>,</t>
    </r>
  </si>
  <si>
    <t>부지면적</t>
  </si>
  <si>
    <r>
      <t>(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</si>
  <si>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원단위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</si>
  <si>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/1,000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</si>
  <si>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활동인구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</si>
  <si>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일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</si>
  <si>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상근인구</t>
  </si>
  <si>
    <t>이용인구</t>
  </si>
  <si>
    <t>합계</t>
  </si>
  <si>
    <t>단독주택</t>
  </si>
  <si>
    <t>근린생활시설</t>
  </si>
  <si>
    <t>판매시설</t>
  </si>
  <si>
    <t>지식기반시설</t>
  </si>
  <si>
    <t>연구시설</t>
  </si>
  <si>
    <t>첨단제조시설</t>
  </si>
  <si>
    <t>복합</t>
  </si>
  <si>
    <t>용지</t>
  </si>
  <si>
    <t>시설</t>
  </si>
  <si>
    <t>계</t>
  </si>
  <si>
    <t>-</t>
  </si>
  <si>
    <t>업무시설</t>
  </si>
  <si>
    <t>지원시설</t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</si>
  <si>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</si>
  <si>
    <t>총 계</t>
  </si>
  <si>
    <t>구분</t>
    <phoneticPr fontId="2" type="noConversion"/>
  </si>
  <si>
    <t>■ 기준년도 용도별 활동인구 예측(2020년 기준)</t>
    <phoneticPr fontId="2" type="noConversion"/>
  </si>
  <si>
    <t>활 동 인 구</t>
  </si>
  <si>
    <r>
      <t>2025</t>
    </r>
    <r>
      <rPr>
        <b/>
        <sz val="10"/>
        <color rgb="FF000000"/>
        <rFont val="휴먼고딕"/>
        <charset val="129"/>
      </rPr>
      <t>년</t>
    </r>
  </si>
  <si>
    <r>
      <t>2029</t>
    </r>
    <r>
      <rPr>
        <b/>
        <sz val="10"/>
        <color rgb="FF000000"/>
        <rFont val="휴먼고딕"/>
        <charset val="129"/>
      </rPr>
      <t>년</t>
    </r>
  </si>
  <si>
    <t>■ 장래 목표연도 활동인구 예측결과</t>
    <phoneticPr fontId="2" type="noConversion"/>
  </si>
  <si>
    <t>pp-69</t>
    <phoneticPr fontId="2" type="noConversion"/>
  </si>
  <si>
    <t>구분</t>
    <phoneticPr fontId="2" type="noConversion"/>
  </si>
  <si>
    <t>인당 목적통행비</t>
    <phoneticPr fontId="2" type="noConversion"/>
  </si>
  <si>
    <t>상근인구</t>
    <phoneticPr fontId="2" type="noConversion"/>
  </si>
  <si>
    <t>이용인구</t>
    <phoneticPr fontId="2" type="noConversion"/>
  </si>
  <si>
    <t>통행/인</t>
  </si>
  <si>
    <t>구 분</t>
  </si>
  <si>
    <t>유입</t>
  </si>
  <si>
    <t>유출</t>
  </si>
  <si>
    <r>
      <t xml:space="preserve">21:00 </t>
    </r>
    <r>
      <rPr>
        <sz val="10"/>
        <color rgb="FF000000"/>
        <rFont val="휴먼고딕"/>
        <charset val="129"/>
      </rPr>
      <t>이후</t>
    </r>
  </si>
  <si>
    <t>연구시설</t>
    <phoneticPr fontId="2" type="noConversion"/>
  </si>
  <si>
    <t>통근</t>
  </si>
  <si>
    <t>통학</t>
  </si>
  <si>
    <t>기타</t>
  </si>
  <si>
    <t>도시지원시설</t>
  </si>
  <si>
    <t>화물 통행량 2025</t>
    <phoneticPr fontId="2" type="noConversion"/>
  </si>
  <si>
    <t>시간대</t>
  </si>
  <si>
    <t>소형</t>
  </si>
  <si>
    <t>　중형</t>
  </si>
  <si>
    <t>대형</t>
  </si>
  <si>
    <t>　합계</t>
  </si>
  <si>
    <r>
      <t>07</t>
    </r>
    <r>
      <rPr>
        <sz val="10"/>
        <color rgb="FF000000"/>
        <rFont val="휴먼고딕"/>
        <charset val="129"/>
      </rPr>
      <t>시 이전</t>
    </r>
  </si>
  <si>
    <t>07:00~08:00</t>
  </si>
  <si>
    <t>08:00~09:00</t>
  </si>
  <si>
    <t>09:00~10:00</t>
  </si>
  <si>
    <t>10:00~11:00</t>
  </si>
  <si>
    <t>11:00~12:00</t>
  </si>
  <si>
    <t>12:00~13:00</t>
  </si>
  <si>
    <t>13:00~14:00</t>
  </si>
  <si>
    <t>14:00~15:00</t>
  </si>
  <si>
    <t>15:00~16:00</t>
  </si>
  <si>
    <t>16:00~17:00</t>
  </si>
  <si>
    <t>17:00~18:00</t>
  </si>
  <si>
    <t>18:00~19:00</t>
  </si>
  <si>
    <t>19:00~20:00</t>
  </si>
  <si>
    <t>20:00~21:00</t>
  </si>
  <si>
    <t>■ 시간대별 차종별 화물 발생교통량</t>
    <phoneticPr fontId="2" type="noConversion"/>
  </si>
  <si>
    <t>통행 발생량과 통행 도착량은 동일</t>
    <phoneticPr fontId="2" type="noConversion"/>
  </si>
  <si>
    <t>■ 장래 목표연도 1일 총 통행량 예측</t>
    <phoneticPr fontId="2" type="noConversion"/>
  </si>
  <si>
    <t>통행 발생량 + 통행 도착량</t>
    <phoneticPr fontId="2" type="noConversion"/>
  </si>
  <si>
    <t>A1</t>
    <phoneticPr fontId="2" type="noConversion"/>
  </si>
  <si>
    <t>면적</t>
    <phoneticPr fontId="2" type="noConversion"/>
  </si>
  <si>
    <t>B1</t>
    <phoneticPr fontId="2" type="noConversion"/>
  </si>
  <si>
    <t>B2</t>
  </si>
  <si>
    <t>B2</t>
    <phoneticPr fontId="2" type="noConversion"/>
  </si>
  <si>
    <t>C1</t>
    <phoneticPr fontId="2" type="noConversion"/>
  </si>
  <si>
    <t>C2</t>
  </si>
  <si>
    <t>C2</t>
    <phoneticPr fontId="2" type="noConversion"/>
  </si>
  <si>
    <t>D2</t>
    <phoneticPr fontId="2" type="noConversion"/>
  </si>
  <si>
    <t>D3</t>
    <phoneticPr fontId="2" type="noConversion"/>
  </si>
  <si>
    <t>D5</t>
    <phoneticPr fontId="2" type="noConversion"/>
  </si>
  <si>
    <t>D6</t>
  </si>
  <si>
    <t>D1</t>
    <phoneticPr fontId="2" type="noConversion"/>
  </si>
  <si>
    <t>D2</t>
    <phoneticPr fontId="2" type="noConversion"/>
  </si>
  <si>
    <t>D3</t>
    <phoneticPr fontId="2" type="noConversion"/>
  </si>
  <si>
    <t>D4</t>
    <phoneticPr fontId="2" type="noConversion"/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</si>
  <si>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</si>
  <si>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</si>
  <si>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</si>
  <si>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</si>
  <si>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</si>
  <si>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</si>
  <si>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</si>
  <si>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</si>
  <si>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</si>
  <si>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</si>
  <si>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</si>
  <si>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</si>
  <si>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</si>
  <si>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F1</t>
    <phoneticPr fontId="2" type="noConversion"/>
  </si>
  <si>
    <t>F2</t>
  </si>
  <si>
    <t>F3</t>
  </si>
  <si>
    <t>G1</t>
    <phoneticPr fontId="2" type="noConversion"/>
  </si>
  <si>
    <t>G2</t>
    <phoneticPr fontId="2" type="noConversion"/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</si>
  <si>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</si>
  <si>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</si>
  <si>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</si>
  <si>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</si>
  <si>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E</t>
    <phoneticPr fontId="2" type="noConversion"/>
  </si>
  <si>
    <t>F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</si>
  <si>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</si>
  <si>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</si>
  <si>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</si>
  <si>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F1</t>
    <phoneticPr fontId="2" type="noConversion"/>
  </si>
  <si>
    <t>F4</t>
  </si>
  <si>
    <t>F5</t>
  </si>
  <si>
    <t>F6</t>
  </si>
  <si>
    <t>G</t>
    <phoneticPr fontId="2" type="noConversion"/>
  </si>
  <si>
    <t>G1</t>
    <phoneticPr fontId="2" type="noConversion"/>
  </si>
  <si>
    <t>G2</t>
    <phoneticPr fontId="2" type="noConversion"/>
  </si>
  <si>
    <t>G3</t>
    <phoneticPr fontId="2" type="noConversion"/>
  </si>
  <si>
    <t>H</t>
    <phoneticPr fontId="2" type="noConversion"/>
  </si>
  <si>
    <t>H1</t>
    <phoneticPr fontId="2" type="noConversion"/>
  </si>
  <si>
    <t>H2</t>
    <phoneticPr fontId="2" type="noConversion"/>
  </si>
  <si>
    <t>I1</t>
    <phoneticPr fontId="2" type="noConversion"/>
  </si>
  <si>
    <t>I2</t>
    <phoneticPr fontId="2" type="noConversion"/>
  </si>
  <si>
    <t>I</t>
    <phoneticPr fontId="2" type="noConversion"/>
  </si>
  <si>
    <t>I3</t>
  </si>
  <si>
    <t>I4</t>
  </si>
  <si>
    <t>I5</t>
  </si>
  <si>
    <t>I6</t>
  </si>
  <si>
    <t>I7</t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</si>
  <si>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</si>
  <si>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</si>
  <si>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</si>
  <si>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판매시설</t>
    <phoneticPr fontId="2" type="noConversion"/>
  </si>
  <si>
    <t>지식기반시설</t>
    <phoneticPr fontId="2" type="noConversion"/>
  </si>
  <si>
    <t>지식기반시설</t>
    <phoneticPr fontId="2" type="noConversion"/>
  </si>
  <si>
    <t>첨단제조시설</t>
    <phoneticPr fontId="2" type="noConversion"/>
  </si>
  <si>
    <t>복합</t>
    <phoneticPr fontId="2" type="noConversion"/>
  </si>
  <si>
    <t>복합지원</t>
    <phoneticPr fontId="2" type="noConversion"/>
  </si>
  <si>
    <t>지원시설</t>
    <phoneticPr fontId="2" type="noConversion"/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</si>
  <si>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</si>
  <si>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주차장(근린생활시설)</t>
    <phoneticPr fontId="2" type="noConversion"/>
  </si>
  <si>
    <t>용도시설</t>
    <phoneticPr fontId="2" type="noConversion"/>
  </si>
  <si>
    <t>ID</t>
    <phoneticPr fontId="2" type="noConversion"/>
  </si>
  <si>
    <t>파일 경로</t>
    <phoneticPr fontId="2" type="noConversion"/>
  </si>
  <si>
    <t>Z:\02_Completed_Works\2021W12-킨텍스교차로개선사업-211026\2021W12-99-Reference\관련_계획\2021.고양 일산테크노밸리 도시개발사업 교통영향평가(케이지엔지니어링)</t>
  </si>
  <si>
    <t>02장 교통현황조사분석_초안(0826).hwp</t>
    <phoneticPr fontId="2" type="noConversion"/>
  </si>
  <si>
    <t>Z:\02_Completed_Works\2021W12-킨텍스교차로개선사업-211026\2021W12-99-Reference\관련_계획\2021.경기고양 방송영상밸리 도시개발사업 교통영향평가(삼안)</t>
  </si>
  <si>
    <t>파일경로 :</t>
    <phoneticPr fontId="2" type="noConversion"/>
  </si>
  <si>
    <t>경기 고양 영상밸리_수정의결보완서.hwp</t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</si>
  <si>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M1</t>
    </r>
  </si>
  <si>
    <t>승용차</t>
  </si>
  <si>
    <t>택시</t>
  </si>
  <si>
    <t>버스</t>
  </si>
  <si>
    <r>
      <t>도보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HY신명조"/>
        <family val="3"/>
        <charset val="129"/>
      </rPr>
      <t>기타</t>
    </r>
  </si>
  <si>
    <t>합 계</t>
  </si>
  <si>
    <r>
      <t xml:space="preserve">07:00 </t>
    </r>
    <r>
      <rPr>
        <sz val="10"/>
        <color rgb="FF000000"/>
        <rFont val="HY신명조"/>
        <family val="3"/>
        <charset val="129"/>
      </rPr>
      <t>이전</t>
    </r>
  </si>
  <si>
    <r>
      <t xml:space="preserve">21:00 </t>
    </r>
    <r>
      <rPr>
        <sz val="10"/>
        <color rgb="FF000000"/>
        <rFont val="HY신명조"/>
        <family val="3"/>
        <charset val="129"/>
      </rPr>
      <t>이후</t>
    </r>
  </si>
  <si>
    <t>평균재차인원</t>
  </si>
  <si>
    <t>공동주택</t>
  </si>
  <si>
    <t>상주인구</t>
  </si>
  <si>
    <t>방문인구</t>
  </si>
  <si>
    <t>상업시설</t>
  </si>
  <si>
    <t>방송시설</t>
  </si>
  <si>
    <t>일반업무시설</t>
  </si>
  <si>
    <t>공공업무시설</t>
  </si>
  <si>
    <t>학교시설</t>
  </si>
  <si>
    <t>&lt;표 3-&gt; 시설별 ·차종별 평균재차인원 산정</t>
    <phoneticPr fontId="2" type="noConversion"/>
  </si>
  <si>
    <r>
      <t>2024</t>
    </r>
    <r>
      <rPr>
        <b/>
        <sz val="9"/>
        <color rgb="FF000000"/>
        <rFont val="HY신명조"/>
        <family val="3"/>
        <charset val="129"/>
      </rPr>
      <t>년</t>
    </r>
  </si>
  <si>
    <t>택 시</t>
  </si>
  <si>
    <t>구 분</t>
    <phoneticPr fontId="2" type="noConversion"/>
  </si>
  <si>
    <t>&lt;표 3-&gt; 시간대별 유출입 통행량(주거시설, 2024년)</t>
    <phoneticPr fontId="2" type="noConversion"/>
  </si>
  <si>
    <t>구 분</t>
    <phoneticPr fontId="2" type="noConversion"/>
  </si>
  <si>
    <t>(단위 : 통행/시, 통행/일)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</si>
  <si>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M2</t>
    </r>
  </si>
  <si>
    <t>&lt;표 3-&gt; 장래 시간대별 발생교통량(주거시설, M1)</t>
    <phoneticPr fontId="2" type="noConversion"/>
  </si>
  <si>
    <r>
      <t>2024</t>
    </r>
    <r>
      <rPr>
        <b/>
        <sz val="10"/>
        <color rgb="FF000000"/>
        <rFont val="HY신명조"/>
        <family val="3"/>
        <charset val="129"/>
      </rPr>
      <t>년</t>
    </r>
  </si>
  <si>
    <t>&lt;표 3-&gt; 장래 시간대별 발생교통량(주거시설, M2)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</si>
  <si>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M3</t>
    </r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</si>
  <si>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M4</t>
    </r>
  </si>
  <si>
    <t>&lt;표 3-&gt; 장래 시간대별 발생교통량(주거시설, M3)</t>
    <phoneticPr fontId="2" type="noConversion"/>
  </si>
  <si>
    <t xml:space="preserve">&lt;표 3-&gt; 장래 시간대별 발생교통량(주거시설, M4)
</t>
    <phoneticPr fontId="2" type="noConversion"/>
  </si>
  <si>
    <t>&lt;표 3-&gt; 장래 시간대별 발생교통량(주거시설, 단독주택)</t>
    <phoneticPr fontId="2" type="noConversion"/>
  </si>
  <si>
    <t>버스는 노선버스로 가정</t>
    <phoneticPr fontId="2" type="noConversion"/>
  </si>
  <si>
    <t>시내버스 재차인원</t>
    <phoneticPr fontId="2" type="noConversion"/>
  </si>
  <si>
    <t>경기도</t>
    <phoneticPr fontId="2" type="noConversion"/>
  </si>
  <si>
    <t>재차인원</t>
    <phoneticPr fontId="2" type="noConversion"/>
  </si>
  <si>
    <t>pp-194</t>
    <phoneticPr fontId="2" type="noConversion"/>
  </si>
  <si>
    <t>KTDB, 수도권 설명자료</t>
    <phoneticPr fontId="2" type="noConversion"/>
  </si>
  <si>
    <t>pp-37</t>
    <phoneticPr fontId="2" type="noConversion"/>
  </si>
  <si>
    <t>&lt;표 3-&gt; 교통수단별 통행량 예측(주거시설, 2024년)</t>
    <phoneticPr fontId="2" type="noConversion"/>
  </si>
  <si>
    <r>
      <t>(</t>
    </r>
    <r>
      <rPr>
        <sz val="9"/>
        <color rgb="FF000000"/>
        <rFont val="HY신명조"/>
        <family val="3"/>
        <charset val="129"/>
      </rPr>
      <t xml:space="preserve">단위 </t>
    </r>
    <r>
      <rPr>
        <sz val="9"/>
        <color rgb="FF000000"/>
        <rFont val="맑은 고딕"/>
        <family val="3"/>
        <charset val="129"/>
        <scheme val="minor"/>
      </rPr>
      <t xml:space="preserve">: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시</t>
    </r>
    <r>
      <rPr>
        <sz val="9"/>
        <color rgb="FF000000"/>
        <rFont val="맑은 고딕"/>
        <family val="3"/>
        <charset val="129"/>
        <scheme val="minor"/>
      </rPr>
      <t xml:space="preserve">,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일</t>
    </r>
    <r>
      <rPr>
        <sz val="9"/>
        <color rgb="FF000000"/>
        <rFont val="맑은 고딕"/>
        <family val="3"/>
        <charset val="129"/>
        <scheme val="minor"/>
      </rPr>
      <t>)</t>
    </r>
  </si>
  <si>
    <t>주상복합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</si>
  <si>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</si>
  <si>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</si>
  <si>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</si>
  <si>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</si>
  <si>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단독주택</t>
    <phoneticPr fontId="2" type="noConversion"/>
  </si>
  <si>
    <t>&lt;표 3-&gt; 교통수단별 통행량 예측(비주거시설, 2024년)</t>
    <phoneticPr fontId="2" type="noConversion"/>
  </si>
  <si>
    <t>(단위 : 통행/시, 통행/일)</t>
    <phoneticPr fontId="2" type="noConversion"/>
  </si>
  <si>
    <t>구분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</si>
  <si>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</si>
  <si>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</si>
  <si>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</si>
  <si>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</si>
  <si>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</si>
  <si>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</si>
  <si>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&lt;표 3-&gt; 장래 시간대별 발생교통량(주거시설, M1)</t>
    <phoneticPr fontId="2" type="noConversion"/>
  </si>
  <si>
    <t>pp-195</t>
    <phoneticPr fontId="2" type="noConversion"/>
  </si>
  <si>
    <t>pp-182</t>
    <phoneticPr fontId="2" type="noConversion"/>
  </si>
  <si>
    <t>2024년</t>
    <phoneticPr fontId="2" type="noConversion"/>
  </si>
  <si>
    <t>용도시설</t>
    <phoneticPr fontId="2" type="noConversion"/>
  </si>
  <si>
    <t>A2</t>
    <phoneticPr fontId="2" type="noConversion"/>
  </si>
  <si>
    <t>상업시설</t>
    <phoneticPr fontId="2" type="noConversion"/>
  </si>
  <si>
    <t>상업시설</t>
    <phoneticPr fontId="2" type="noConversion"/>
  </si>
  <si>
    <t>B3</t>
  </si>
  <si>
    <t>B4</t>
  </si>
  <si>
    <t>C1</t>
    <phoneticPr fontId="2" type="noConversion"/>
  </si>
  <si>
    <t>C3</t>
  </si>
  <si>
    <t>도시지원시설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</si>
  <si>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</si>
  <si>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</si>
  <si>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</si>
  <si>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</si>
  <si>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</si>
  <si>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</si>
  <si>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근린생황시설</t>
    <phoneticPr fontId="2" type="noConversion"/>
  </si>
  <si>
    <t>H1</t>
    <phoneticPr fontId="2" type="noConversion"/>
  </si>
  <si>
    <t>: 수도권 재차인원 반영 추정대수</t>
    <phoneticPr fontId="2" type="noConversion"/>
  </si>
  <si>
    <t>통행량</t>
    <phoneticPr fontId="2" type="noConversion"/>
  </si>
  <si>
    <t>작성 요망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</si>
  <si>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</si>
  <si>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01_2. 변경심의 보고서(191108)-최종.hwp</t>
  </si>
  <si>
    <t>pp-7</t>
    <phoneticPr fontId="2" type="noConversion"/>
  </si>
  <si>
    <t xml:space="preserve">파일경로 : </t>
    <phoneticPr fontId="2" type="noConversion"/>
  </si>
  <si>
    <t>X:\00_TLSYSLAB_Mighty_Drive\2021W12-킨텍스교차로개선사업-211026\2021W12-99-Reference\01 관련자료(lh)\★211013_교평변경신고_최종보고서</t>
  </si>
  <si>
    <t>고양장항 공공주택지구 교통영향평가 변경신고(통합보고서).pdf</t>
    <phoneticPr fontId="2" type="noConversion"/>
  </si>
  <si>
    <t>토지이용계획도</t>
    <phoneticPr fontId="2" type="noConversion"/>
  </si>
  <si>
    <t>통행량</t>
    <phoneticPr fontId="2" type="noConversion"/>
  </si>
  <si>
    <t>2로 나눠야됨</t>
    <phoneticPr fontId="2" type="noConversion"/>
  </si>
  <si>
    <t>(단위 : 통행/일)</t>
    <phoneticPr fontId="2" type="noConversion"/>
  </si>
  <si>
    <t>도보 및 기타</t>
  </si>
  <si>
    <t>주거시설</t>
  </si>
  <si>
    <t>산업시설</t>
  </si>
  <si>
    <t>지원 및 상업시설</t>
  </si>
  <si>
    <t>기타시설</t>
  </si>
  <si>
    <t>구 분</t>
    <phoneticPr fontId="2" type="noConversion"/>
  </si>
  <si>
    <t>■ 주교통수단별 통행분담율 예측</t>
    <phoneticPr fontId="2" type="noConversion"/>
  </si>
  <si>
    <t>pp-78</t>
    <phoneticPr fontId="2" type="noConversion"/>
  </si>
  <si>
    <t>(단위 : %)</t>
    <phoneticPr fontId="2" type="noConversion"/>
  </si>
  <si>
    <t>재차인원</t>
  </si>
  <si>
    <t>■ 유사시설 차량당 평균재차인원</t>
    <phoneticPr fontId="2" type="noConversion"/>
  </si>
  <si>
    <t>(단위 : 인/대)</t>
    <phoneticPr fontId="2" type="noConversion"/>
  </si>
  <si>
    <t>노선버스</t>
    <phoneticPr fontId="2" type="noConversion"/>
  </si>
  <si>
    <t>비노선버스</t>
    <phoneticPr fontId="2" type="noConversion"/>
  </si>
  <si>
    <t>수도권 기초자료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</si>
  <si>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</si>
  <si>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</si>
  <si>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</si>
  <si>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도보 및 기타</t>
    <phoneticPr fontId="2" type="noConversion"/>
  </si>
  <si>
    <t>계</t>
    <phoneticPr fontId="2" type="noConversion"/>
  </si>
  <si>
    <t>상근인구</t>
    <phoneticPr fontId="2" type="noConversion"/>
  </si>
  <si>
    <t>이용인구</t>
    <phoneticPr fontId="2" type="noConversion"/>
  </si>
  <si>
    <t>2025년</t>
    <phoneticPr fontId="2" type="noConversion"/>
  </si>
  <si>
    <t>복합
용지
시설</t>
    <phoneticPr fontId="2" type="noConversion"/>
  </si>
  <si>
    <r>
      <t>주차장</t>
    </r>
    <r>
      <rPr>
        <b/>
        <sz val="10"/>
        <color rgb="FF000000"/>
        <rFont val="맑은 고딕"/>
        <family val="3"/>
        <charset val="129"/>
        <scheme val="minor"/>
      </rPr>
      <t>(</t>
    </r>
    <r>
      <rPr>
        <b/>
        <sz val="10"/>
        <color rgb="FF000000"/>
        <rFont val="휴먼고딕"/>
        <charset val="129"/>
      </rPr>
      <t>근린생활시설</t>
    </r>
    <r>
      <rPr>
        <b/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</si>
  <si>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2029년</t>
    <phoneticPr fontId="2" type="noConversion"/>
  </si>
  <si>
    <t>수단별 통행량(2025년)</t>
    <phoneticPr fontId="2" type="noConversion"/>
  </si>
  <si>
    <t>구역이 1개이므로, 교통영향평가에서 
산출한 통행량 사용</t>
    <phoneticPr fontId="2" type="noConversion"/>
  </si>
  <si>
    <t>pp-70</t>
    <phoneticPr fontId="2" type="noConversion"/>
  </si>
  <si>
    <t>(단위 : 인/일)</t>
    <phoneticPr fontId="2" type="noConversion"/>
  </si>
  <si>
    <t>pp-80</t>
    <phoneticPr fontId="2" type="noConversion"/>
  </si>
  <si>
    <t>질문사항</t>
    <phoneticPr fontId="2" type="noConversion"/>
  </si>
  <si>
    <t>수단별 통행량(2029년)</t>
    <phoneticPr fontId="2" type="noConversion"/>
  </si>
  <si>
    <t>블록 면적의 합</t>
    <phoneticPr fontId="2" type="noConversion"/>
  </si>
  <si>
    <t>A1</t>
    <phoneticPr fontId="2" type="noConversion"/>
  </si>
  <si>
    <t>A2</t>
    <phoneticPr fontId="2" type="noConversion"/>
  </si>
  <si>
    <t>H1</t>
    <phoneticPr fontId="2" type="noConversion"/>
  </si>
  <si>
    <t>H2</t>
    <phoneticPr fontId="2" type="noConversion"/>
  </si>
  <si>
    <t>방문</t>
  </si>
  <si>
    <t>인구</t>
  </si>
  <si>
    <t>상근</t>
  </si>
  <si>
    <t>이용</t>
  </si>
  <si>
    <r>
      <t>2023</t>
    </r>
    <r>
      <rPr>
        <sz val="10"/>
        <color rgb="FF000000"/>
        <rFont val="가는둥근제목체"/>
        <family val="3"/>
        <charset val="129"/>
      </rPr>
      <t>년</t>
    </r>
  </si>
  <si>
    <t>주택</t>
  </si>
  <si>
    <t>건설</t>
  </si>
  <si>
    <t>단독</t>
  </si>
  <si>
    <t>소계</t>
  </si>
  <si>
    <t>일반</t>
  </si>
  <si>
    <t>공동</t>
  </si>
  <si>
    <t>아파트</t>
  </si>
  <si>
    <r>
      <t>60</t>
    </r>
    <r>
      <rPr>
        <sz val="10"/>
        <color rgb="FF000000"/>
        <rFont val="가는둥근제목체"/>
        <family val="3"/>
        <charset val="129"/>
      </rPr>
      <t>㎡이하</t>
    </r>
  </si>
  <si>
    <r>
      <t>60</t>
    </r>
    <r>
      <rPr>
        <sz val="10"/>
        <color rgb="FF000000"/>
        <rFont val="가는둥근제목체"/>
        <family val="3"/>
        <charset val="129"/>
      </rPr>
      <t>㎡∼</t>
    </r>
    <r>
      <rPr>
        <sz val="10"/>
        <color rgb="FF000000"/>
        <rFont val="맑은 고딕"/>
        <family val="3"/>
        <charset val="129"/>
        <scheme val="minor"/>
      </rPr>
      <t>85</t>
    </r>
    <r>
      <rPr>
        <sz val="10"/>
        <color rgb="FF000000"/>
        <rFont val="가는둥근제목체"/>
        <family val="3"/>
        <charset val="129"/>
      </rPr>
      <t>㎡</t>
    </r>
  </si>
  <si>
    <t>주상</t>
  </si>
  <si>
    <r>
      <t>85</t>
    </r>
    <r>
      <rPr>
        <sz val="10"/>
        <color rgb="FF000000"/>
        <rFont val="가는둥근제목체"/>
        <family val="3"/>
        <charset val="129"/>
      </rPr>
      <t>㎡초과</t>
    </r>
  </si>
  <si>
    <t>공공</t>
  </si>
  <si>
    <t>상업업무시설</t>
  </si>
  <si>
    <t>교육시설</t>
  </si>
  <si>
    <t>공공청사</t>
  </si>
  <si>
    <t>종교시설</t>
  </si>
  <si>
    <t>복합커뮤니티시설</t>
  </si>
  <si>
    <r>
      <t>2027</t>
    </r>
    <r>
      <rPr>
        <sz val="10"/>
        <color rgb="FF000000"/>
        <rFont val="가는둥근제목체"/>
        <family val="3"/>
        <charset val="129"/>
      </rPr>
      <t>년</t>
    </r>
  </si>
  <si>
    <t>구 분</t>
    <phoneticPr fontId="2" type="noConversion"/>
  </si>
  <si>
    <t>&lt; 표 3- &gt; 장래 통행목적별 통행발생량 예측결과</t>
    <phoneticPr fontId="2" type="noConversion"/>
  </si>
  <si>
    <r>
      <t>목적통행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가는둥근제목체"/>
        <family val="3"/>
        <charset val="129"/>
      </rPr>
      <t>통행</t>
    </r>
    <r>
      <rPr>
        <sz val="10"/>
        <color rgb="FF000000"/>
        <rFont val="맑은 고딕"/>
        <family val="3"/>
        <charset val="129"/>
        <scheme val="minor"/>
      </rPr>
      <t>/</t>
    </r>
    <r>
      <rPr>
        <sz val="10"/>
        <color rgb="FF000000"/>
        <rFont val="가는둥근제목체"/>
        <family val="3"/>
        <charset val="129"/>
      </rPr>
      <t>일</t>
    </r>
    <r>
      <rPr>
        <sz val="10"/>
        <color rgb="FF000000"/>
        <rFont val="맑은 고딕"/>
        <family val="3"/>
        <charset val="129"/>
        <scheme val="minor"/>
      </rPr>
      <t>)</t>
    </r>
  </si>
  <si>
    <r>
      <t>구성 비율</t>
    </r>
    <r>
      <rPr>
        <sz val="10"/>
        <color rgb="FF000000"/>
        <rFont val="맑은 고딕"/>
        <family val="3"/>
        <charset val="129"/>
        <scheme val="minor"/>
      </rPr>
      <t>(%)</t>
    </r>
  </si>
  <si>
    <t>구분</t>
    <phoneticPr fontId="2" type="noConversion"/>
  </si>
  <si>
    <t>&lt; 표 3- &gt; 통행목적별 구성비</t>
    <phoneticPr fontId="2" type="noConversion"/>
  </si>
  <si>
    <t>주거</t>
  </si>
  <si>
    <t>상주</t>
  </si>
  <si>
    <t>근린</t>
  </si>
  <si>
    <t>생활</t>
  </si>
  <si>
    <t>(단위 : 통행/일)</t>
    <phoneticPr fontId="2" type="noConversion"/>
  </si>
  <si>
    <t>&lt; 표 3- &gt; 장래 수단분담률 예측결과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</si>
  <si>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</si>
  <si>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</si>
  <si>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</si>
  <si>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아파트</t>
    <phoneticPr fontId="2" type="noConversion"/>
  </si>
  <si>
    <t>주상복합</t>
    <phoneticPr fontId="2" type="noConversion"/>
  </si>
  <si>
    <t>단독주택</t>
    <phoneticPr fontId="2" type="noConversion"/>
  </si>
  <si>
    <t>단독 or 공동</t>
    <phoneticPr fontId="2" type="noConversion"/>
  </si>
  <si>
    <t>근린생활시설</t>
    <phoneticPr fontId="2" type="noConversion"/>
  </si>
  <si>
    <t>주거용지</t>
    <phoneticPr fontId="2" type="noConversion"/>
  </si>
  <si>
    <t>방문인구</t>
    <phoneticPr fontId="2" type="noConversion"/>
  </si>
  <si>
    <t>상주인구</t>
    <phoneticPr fontId="2" type="noConversion"/>
  </si>
  <si>
    <t>이용인구</t>
    <phoneticPr fontId="2" type="noConversion"/>
  </si>
  <si>
    <t>2027년 수단별 통행량</t>
    <phoneticPr fontId="2" type="noConversion"/>
  </si>
  <si>
    <t>&lt; 표 3- &gt; 차종별 평균 재차인원</t>
    <phoneticPr fontId="2" type="noConversion"/>
  </si>
  <si>
    <t>2023년 수단별 통행량</t>
    <phoneticPr fontId="2" type="noConversion"/>
  </si>
  <si>
    <t>승용차</t>
    <phoneticPr fontId="2" type="noConversion"/>
  </si>
  <si>
    <t>택시</t>
    <phoneticPr fontId="2" type="noConversion"/>
  </si>
  <si>
    <t>2023년 수단별 통행량(수단 계)</t>
    <phoneticPr fontId="2" type="noConversion"/>
  </si>
  <si>
    <t>2027년 수단별 통행량(수단 계)</t>
    <phoneticPr fontId="2" type="noConversion"/>
  </si>
  <si>
    <t>2023년 수단별 통행량 (대/일)</t>
    <phoneticPr fontId="2" type="noConversion"/>
  </si>
  <si>
    <t>2027년 수단별 통행량(대/일)</t>
    <phoneticPr fontId="2" type="noConversion"/>
  </si>
  <si>
    <t>세대수,</t>
  </si>
  <si>
    <t>2025년</t>
  </si>
  <si>
    <t>2029년</t>
  </si>
  <si>
    <t>(세대, ㎡)</t>
  </si>
  <si>
    <t>■ 장래 목표연도 1일 총 통행량 예측</t>
    <phoneticPr fontId="2" type="noConversion"/>
  </si>
  <si>
    <t>통행 발생량 + 통행 도착량</t>
    <phoneticPr fontId="2" type="noConversion"/>
  </si>
  <si>
    <t>2로 나눠야됨</t>
    <phoneticPr fontId="2" type="noConversion"/>
  </si>
  <si>
    <t>구분</t>
    <phoneticPr fontId="2" type="noConversion"/>
  </si>
  <si>
    <t>통행량</t>
    <phoneticPr fontId="2" type="noConversion"/>
  </si>
  <si>
    <t>단독주택</t>
    <phoneticPr fontId="2" type="noConversion"/>
  </si>
  <si>
    <t>지식기반시설</t>
    <phoneticPr fontId="2" type="noConversion"/>
  </si>
  <si>
    <t>연구시설</t>
    <phoneticPr fontId="2" type="noConversion"/>
  </si>
  <si>
    <t>첨단제조시설</t>
    <phoneticPr fontId="2" type="noConversion"/>
  </si>
  <si>
    <t>지원시설</t>
    <phoneticPr fontId="2" type="noConversion"/>
  </si>
  <si>
    <t>주차장(근린생활시설)</t>
    <phoneticPr fontId="2" type="noConversion"/>
  </si>
  <si>
    <t>수단별 통행량(2025년) , 대/일</t>
    <phoneticPr fontId="2" type="noConversion"/>
  </si>
  <si>
    <t>수단별 발생량(2029년), 대/일</t>
    <phoneticPr fontId="2" type="noConversion"/>
  </si>
  <si>
    <t>버스</t>
    <phoneticPr fontId="2" type="noConversion"/>
  </si>
  <si>
    <t>버스</t>
    <phoneticPr fontId="2" type="noConversion"/>
  </si>
  <si>
    <t>A3</t>
  </si>
  <si>
    <t>A4</t>
  </si>
  <si>
    <t>A5</t>
  </si>
  <si>
    <t>A6</t>
  </si>
  <si>
    <t>A7</t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</si>
  <si>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</si>
  <si>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</si>
  <si>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</si>
  <si>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</si>
  <si>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F</t>
    <phoneticPr fontId="2" type="noConversion"/>
  </si>
  <si>
    <t>G</t>
    <phoneticPr fontId="2" type="noConversion"/>
  </si>
  <si>
    <t>아파트 60 이하</t>
    <phoneticPr fontId="2" type="noConversion"/>
  </si>
  <si>
    <t>B1</t>
    <phoneticPr fontId="2" type="noConversion"/>
  </si>
  <si>
    <t>B5</t>
  </si>
  <si>
    <t>B6</t>
  </si>
  <si>
    <t>아파트 60 이하 
+ 아파트 60-85</t>
    <phoneticPr fontId="2" type="noConversion"/>
  </si>
  <si>
    <t>아파트 60-85</t>
    <phoneticPr fontId="2" type="noConversion"/>
  </si>
  <si>
    <t>C1</t>
    <phoneticPr fontId="2" type="noConversion"/>
  </si>
  <si>
    <t>D1</t>
    <phoneticPr fontId="2" type="noConversion"/>
  </si>
  <si>
    <t>주상복합 60-85
+ 85 초과</t>
    <phoneticPr fontId="2" type="noConversion"/>
  </si>
  <si>
    <t>근린생활시설</t>
    <phoneticPr fontId="2" type="noConversion"/>
  </si>
  <si>
    <t>E1</t>
    <phoneticPr fontId="2" type="noConversion"/>
  </si>
  <si>
    <t>E2</t>
    <phoneticPr fontId="2" type="noConversion"/>
  </si>
  <si>
    <t>E3</t>
  </si>
  <si>
    <t>E4</t>
  </si>
  <si>
    <t>상업업무시설</t>
    <phoneticPr fontId="2" type="noConversion"/>
  </si>
  <si>
    <t>F1</t>
    <phoneticPr fontId="2" type="noConversion"/>
  </si>
  <si>
    <t>교육시설</t>
    <phoneticPr fontId="2" type="noConversion"/>
  </si>
  <si>
    <t>E</t>
    <phoneticPr fontId="2" type="noConversion"/>
  </si>
  <si>
    <t>G1</t>
    <phoneticPr fontId="2" type="noConversion"/>
  </si>
  <si>
    <t>공공청사</t>
    <phoneticPr fontId="2" type="noConversion"/>
  </si>
  <si>
    <t>H1</t>
    <phoneticPr fontId="2" type="noConversion"/>
  </si>
  <si>
    <t>종교시설</t>
    <phoneticPr fontId="2" type="noConversion"/>
  </si>
  <si>
    <t>I1</t>
    <phoneticPr fontId="2" type="noConversion"/>
  </si>
  <si>
    <t>I2</t>
  </si>
  <si>
    <t>복합커뮤니티시설</t>
    <phoneticPr fontId="2" type="noConversion"/>
  </si>
  <si>
    <t>J1</t>
    <phoneticPr fontId="2" type="noConversion"/>
  </si>
  <si>
    <t>도시지원시설</t>
    <phoneticPr fontId="2" type="noConversion"/>
  </si>
  <si>
    <t>K1</t>
    <phoneticPr fontId="2" type="noConversion"/>
  </si>
  <si>
    <t>K2</t>
  </si>
  <si>
    <t>Z:\02_Completed_Works\2021W12-킨텍스교차로개선사업-211026\2021W12-99-Reference\관련_계획\2020.씨제이라이브시티 복합개발사업 T부지(T1,T2) 교통영향평가(약식)(변경심의)(동림피엔디) (1)</t>
    <phoneticPr fontId="2" type="noConversion"/>
  </si>
  <si>
    <t>씨제이라이브시티 복합개발사업 T부지(T1,T2) 교통영향평가(약식)(변경심의)-5장.hwp</t>
  </si>
  <si>
    <t>pp-246</t>
    <phoneticPr fontId="2" type="noConversion"/>
  </si>
  <si>
    <t>pp-261</t>
    <phoneticPr fontId="2" type="noConversion"/>
  </si>
  <si>
    <t>지하철</t>
  </si>
  <si>
    <t xml:space="preserve">유입 </t>
  </si>
  <si>
    <t xml:space="preserve">계 </t>
  </si>
  <si>
    <t xml:space="preserve">❏ 문화 및 집회시설(아레나)(T2부지)
</t>
    <phoneticPr fontId="2" type="noConversion"/>
  </si>
  <si>
    <t xml:space="preserve">❏ 방송시설(스튜디오), 판매시설, 위락시설(테마파크)(T2부지)
</t>
    <phoneticPr fontId="2" type="noConversion"/>
  </si>
  <si>
    <t>&lt;표 5-3-32&gt; 장래 교통수단별 시간대별 통행량 분포 예측 결과(2024년 평일)</t>
    <phoneticPr fontId="2" type="noConversion"/>
  </si>
  <si>
    <r>
      <t>❏ 방송시설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방송통신시설</t>
    </r>
    <r>
      <rPr>
        <sz val="10"/>
        <color rgb="FF000000"/>
        <rFont val="맑은 고딕"/>
        <family val="3"/>
        <charset val="129"/>
        <scheme val="minor"/>
      </rPr>
      <t xml:space="preserve">), </t>
    </r>
    <r>
      <rPr>
        <sz val="10"/>
        <color rgb="FF000000"/>
        <rFont val="08서울남산체 B"/>
        <family val="3"/>
        <charset val="129"/>
      </rPr>
      <t>판매시설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08서울남산체 B"/>
        <family val="3"/>
        <charset val="129"/>
      </rPr>
      <t>위락시설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테마파크</t>
    </r>
    <r>
      <rPr>
        <sz val="10"/>
        <color rgb="FF000000"/>
        <rFont val="맑은 고딕"/>
        <family val="3"/>
        <charset val="129"/>
        <scheme val="minor"/>
      </rPr>
      <t>)(T1</t>
    </r>
    <r>
      <rPr>
        <sz val="10"/>
        <color rgb="FF000000"/>
        <rFont val="08서울남산체 B"/>
        <family val="3"/>
        <charset val="129"/>
      </rPr>
      <t>부지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</si>
  <si>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r>
      <t xml:space="preserve">❏ </t>
    </r>
    <r>
      <rPr>
        <sz val="11"/>
        <color rgb="FF000000"/>
        <rFont val="맑은 고딕"/>
        <family val="3"/>
        <charset val="129"/>
        <scheme val="minor"/>
      </rPr>
      <t>T2</t>
    </r>
    <r>
      <rPr>
        <sz val="11"/>
        <color rgb="FF000000"/>
        <rFont val="08서울남산체 B"/>
        <family val="3"/>
        <charset val="129"/>
      </rPr>
      <t>부지 종합</t>
    </r>
    <r>
      <rPr>
        <sz val="11"/>
        <color rgb="FF000000"/>
        <rFont val="맑은 고딕"/>
        <family val="3"/>
        <charset val="129"/>
        <scheme val="minor"/>
      </rPr>
      <t>(</t>
    </r>
    <r>
      <rPr>
        <sz val="11"/>
        <color rgb="FF000000"/>
        <rFont val="08서울남산체 B"/>
        <family val="3"/>
        <charset val="129"/>
      </rPr>
      <t>문화 및 집회시설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방송시설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판매시설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위락시설</t>
    </r>
    <r>
      <rPr>
        <sz val="11"/>
        <color rgb="FF000000"/>
        <rFont val="맑은 고딕"/>
        <family val="3"/>
        <charset val="129"/>
        <scheme val="minor"/>
      </rPr>
      <t>)</t>
    </r>
    <phoneticPr fontId="2" type="noConversion"/>
  </si>
  <si>
    <t>통행/일</t>
    <phoneticPr fontId="2" type="noConversion"/>
  </si>
  <si>
    <t>&lt;표 5-3-35&gt; 장래 시간대별 발생교통량 예측(2024년 평일)</t>
    <phoneticPr fontId="2" type="noConversion"/>
  </si>
  <si>
    <t>평일</t>
  </si>
  <si>
    <t>문화 및 집회시설</t>
  </si>
  <si>
    <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</si>
  <si>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</si>
  <si>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</si>
  <si>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t>위락시설</t>
  </si>
  <si>
    <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</si>
  <si>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t>휴일</t>
  </si>
  <si>
    <t>구 분</t>
    <phoneticPr fontId="2" type="noConversion"/>
  </si>
  <si>
    <t>&lt;표 5-3-34&gt; 차종별 평균재차인원 산정</t>
    <phoneticPr fontId="2" type="noConversion"/>
  </si>
  <si>
    <t>노선버스</t>
    <phoneticPr fontId="2" type="noConversion"/>
  </si>
  <si>
    <t>비노선버스</t>
    <phoneticPr fontId="2" type="noConversion"/>
  </si>
  <si>
    <t>비노선버스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</si>
  <si>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</si>
  <si>
    <t>seoul</t>
  </si>
  <si>
    <t>goyang</t>
  </si>
  <si>
    <t>gyeonggi</t>
  </si>
  <si>
    <t>incheon</t>
  </si>
  <si>
    <t>etc</t>
  </si>
  <si>
    <t>통행 발생량 = 통행 도착량</t>
    <phoneticPr fontId="2" type="noConversion"/>
  </si>
  <si>
    <t>복합
용지
시설</t>
  </si>
  <si>
    <t>구분</t>
    <phoneticPr fontId="35" type="noConversion"/>
  </si>
  <si>
    <t>도보</t>
    <phoneticPr fontId="35" type="noConversion"/>
  </si>
  <si>
    <t>승용차</t>
    <phoneticPr fontId="35" type="noConversion"/>
  </si>
  <si>
    <t>버스</t>
    <phoneticPr fontId="35" type="noConversion"/>
  </si>
  <si>
    <t>전철/철도</t>
    <phoneticPr fontId="35" type="noConversion"/>
  </si>
  <si>
    <t>화물차</t>
    <phoneticPr fontId="35" type="noConversion"/>
  </si>
  <si>
    <t>자전거</t>
    <phoneticPr fontId="35" type="noConversion"/>
  </si>
  <si>
    <t>기타</t>
    <phoneticPr fontId="35" type="noConversion"/>
  </si>
  <si>
    <t>합계</t>
    <phoneticPr fontId="35" type="noConversion"/>
  </si>
  <si>
    <t>시내버스</t>
    <phoneticPr fontId="35" type="noConversion"/>
  </si>
  <si>
    <t>광역버스</t>
    <phoneticPr fontId="35" type="noConversion"/>
  </si>
  <si>
    <t>마을버스</t>
    <phoneticPr fontId="35" type="noConversion"/>
  </si>
  <si>
    <t>시외/고속버스</t>
    <phoneticPr fontId="35" type="noConversion"/>
  </si>
  <si>
    <t>기타버스</t>
    <phoneticPr fontId="35" type="noConversion"/>
  </si>
  <si>
    <t>지하철/전철</t>
    <phoneticPr fontId="35" type="noConversion"/>
  </si>
  <si>
    <t>(고속)철도</t>
  </si>
  <si>
    <t>지역내</t>
    <phoneticPr fontId="35" type="noConversion"/>
  </si>
  <si>
    <t>지역-경기</t>
    <phoneticPr fontId="35" type="noConversion"/>
  </si>
  <si>
    <t>지역-서울</t>
    <phoneticPr fontId="35" type="noConversion"/>
  </si>
  <si>
    <t>지역-인천</t>
    <phoneticPr fontId="35" type="noConversion"/>
  </si>
  <si>
    <t>지역-외곽</t>
    <phoneticPr fontId="35" type="noConversion"/>
  </si>
  <si>
    <t>합계</t>
    <phoneticPr fontId="35" type="noConversion"/>
  </si>
  <si>
    <t>goyang</t>
    <phoneticPr fontId="2" type="noConversion"/>
  </si>
  <si>
    <t>total</t>
  </si>
  <si>
    <t>total</t>
    <phoneticPr fontId="2" type="noConversion"/>
  </si>
  <si>
    <t>Trip Production ratio</t>
    <phoneticPr fontId="2" type="noConversion"/>
  </si>
  <si>
    <t>Trip Attraction ratio</t>
    <phoneticPr fontId="2" type="noConversion"/>
  </si>
  <si>
    <t>total</t>
    <phoneticPr fontId="2" type="noConversion"/>
  </si>
  <si>
    <t>통행분포</t>
    <phoneticPr fontId="2" type="noConversion"/>
  </si>
  <si>
    <t>지역-서울</t>
  </si>
  <si>
    <t>지역-경기</t>
  </si>
  <si>
    <t>지역-인천</t>
  </si>
  <si>
    <t>지역-외곽</t>
  </si>
  <si>
    <t>지역내</t>
  </si>
  <si>
    <t>Trip Prodcution</t>
    <phoneticPr fontId="2" type="noConversion"/>
  </si>
  <si>
    <t>Trip Attration</t>
    <phoneticPr fontId="2" type="noConversion"/>
  </si>
  <si>
    <t>지역-경기</t>
    <phoneticPr fontId="2" type="noConversion"/>
  </si>
  <si>
    <t>Modal Split</t>
    <phoneticPr fontId="2" type="noConversion"/>
  </si>
  <si>
    <t>도보</t>
  </si>
  <si>
    <t>화물차</t>
  </si>
  <si>
    <t>자전거</t>
  </si>
  <si>
    <t>시내버스</t>
  </si>
  <si>
    <t>광역버스</t>
  </si>
  <si>
    <t>마을버스</t>
  </si>
  <si>
    <t>시외/고속버스</t>
  </si>
  <si>
    <t>기타버스</t>
  </si>
  <si>
    <t>지하철/전철</t>
  </si>
  <si>
    <t>주차장(근린생활시설)</t>
  </si>
  <si>
    <t>수단선택</t>
    <phoneticPr fontId="2" type="noConversion"/>
  </si>
  <si>
    <t>판매시설</t>
    <phoneticPr fontId="2" type="noConversion"/>
  </si>
  <si>
    <t>복합판매시설</t>
    <phoneticPr fontId="2" type="noConversion"/>
  </si>
  <si>
    <t>복합판매시설</t>
    <phoneticPr fontId="2" type="noConversion"/>
  </si>
  <si>
    <t>복합근린생활시설</t>
    <phoneticPr fontId="2" type="noConversion"/>
  </si>
  <si>
    <t>검토중!!!</t>
    <phoneticPr fontId="2" type="noConversion"/>
  </si>
  <si>
    <t>전철/철도</t>
  </si>
  <si>
    <t>복합판매시설</t>
  </si>
  <si>
    <t>복합근린생활시설</t>
  </si>
  <si>
    <t>복합</t>
    <phoneticPr fontId="2" type="noConversion"/>
  </si>
  <si>
    <t>재차인원적용</t>
    <phoneticPr fontId="2" type="noConversion"/>
  </si>
  <si>
    <t>경</t>
  </si>
  <si>
    <t>기</t>
  </si>
  <si>
    <t>도</t>
  </si>
  <si>
    <t>수시</t>
  </si>
  <si>
    <t>성남시</t>
  </si>
  <si>
    <t>의정부시</t>
  </si>
  <si>
    <t>안양시</t>
  </si>
  <si>
    <t>부천시</t>
  </si>
  <si>
    <t>광명시</t>
  </si>
  <si>
    <t>평택시</t>
  </si>
  <si>
    <t>동두천시</t>
  </si>
  <si>
    <t>안산시</t>
  </si>
  <si>
    <t>고양시</t>
  </si>
  <si>
    <t>과천시</t>
  </si>
  <si>
    <t>구리시</t>
  </si>
  <si>
    <t>남양주시</t>
  </si>
  <si>
    <t>오산시</t>
  </si>
  <si>
    <t>시흥시</t>
  </si>
  <si>
    <t>군포시</t>
  </si>
  <si>
    <t>의왕시</t>
  </si>
  <si>
    <t>하남시</t>
  </si>
  <si>
    <t>용인시</t>
  </si>
  <si>
    <t>파주시</t>
  </si>
  <si>
    <t>이천시</t>
  </si>
  <si>
    <t>안성시</t>
  </si>
  <si>
    <t>김포시</t>
  </si>
  <si>
    <t>화성시</t>
  </si>
  <si>
    <t>광주시</t>
  </si>
  <si>
    <t>양주시</t>
  </si>
  <si>
    <t>포천시</t>
  </si>
  <si>
    <t>여주군</t>
  </si>
  <si>
    <t>연천군</t>
  </si>
  <si>
    <t>가평군</t>
  </si>
  <si>
    <t>양평군</t>
  </si>
  <si>
    <t>출발 권역구분</t>
  </si>
  <si>
    <t>도착지 구분</t>
  </si>
  <si>
    <t>서울</t>
  </si>
  <si>
    <t>인천</t>
  </si>
  <si>
    <t>경기</t>
  </si>
  <si>
    <t>수도권외</t>
  </si>
  <si>
    <t>권역내부</t>
  </si>
  <si>
    <t>승용차 재차인원</t>
    <phoneticPr fontId="2" type="noConversion"/>
  </si>
  <si>
    <t>경기도</t>
  </si>
  <si>
    <t>비노선버스</t>
  </si>
  <si>
    <t>서울특별시</t>
  </si>
  <si>
    <t>부산광역시</t>
  </si>
  <si>
    <t>대구광역시</t>
  </si>
  <si>
    <t>인천광역시</t>
  </si>
  <si>
    <t>광주광역시</t>
  </si>
  <si>
    <t>대전광역시</t>
  </si>
  <si>
    <t>울산광역시</t>
  </si>
  <si>
    <t>강원도</t>
  </si>
  <si>
    <t>충청북도</t>
  </si>
  <si>
    <t>충청남도</t>
  </si>
  <si>
    <t>전라북도</t>
  </si>
  <si>
    <t>전라남도</t>
  </si>
  <si>
    <t>경상북도</t>
  </si>
  <si>
    <t>경상남도</t>
  </si>
  <si>
    <t>제주특별자치도</t>
  </si>
  <si>
    <t>버스/택시 재차인원</t>
    <phoneticPr fontId="2" type="noConversion"/>
  </si>
  <si>
    <t>지역내</t>
    <phoneticPr fontId="2" type="noConversion"/>
  </si>
  <si>
    <t>지역-서울</t>
    <phoneticPr fontId="2" type="noConversion"/>
  </si>
  <si>
    <t>지역-서울</t>
    <phoneticPr fontId="2" type="noConversion"/>
  </si>
  <si>
    <t>지역-인천</t>
    <phoneticPr fontId="2" type="noConversion"/>
  </si>
  <si>
    <t>지역-경기</t>
    <phoneticPr fontId="2" type="noConversion"/>
  </si>
  <si>
    <t>지역-외곽</t>
    <phoneticPr fontId="2" type="noConversion"/>
  </si>
  <si>
    <t>지역내</t>
    <phoneticPr fontId="2" type="noConversion"/>
  </si>
  <si>
    <t>대</t>
    <phoneticPr fontId="2" type="noConversion"/>
  </si>
  <si>
    <t>2020년_수도권OD및네트워크설명자료</t>
    <phoneticPr fontId="2" type="noConversion"/>
  </si>
  <si>
    <t>용도시설별 면적비율</t>
  </si>
  <si>
    <t>용도시설별 면적비율</t>
    <phoneticPr fontId="2" type="noConversion"/>
  </si>
  <si>
    <t>용도시설</t>
  </si>
  <si>
    <t>ID</t>
  </si>
  <si>
    <t>면적</t>
  </si>
  <si>
    <t>A1</t>
  </si>
  <si>
    <t>B1</t>
  </si>
  <si>
    <t>C1</t>
  </si>
  <si>
    <t>D1</t>
  </si>
  <si>
    <t>D2</t>
  </si>
  <si>
    <t>D3</t>
  </si>
  <si>
    <t>D4</t>
  </si>
  <si>
    <t>D5</t>
  </si>
  <si>
    <t>E1</t>
  </si>
  <si>
    <t>E2</t>
  </si>
  <si>
    <t>F1</t>
  </si>
  <si>
    <t>복합지원</t>
  </si>
  <si>
    <t>G1</t>
  </si>
  <si>
    <t>G2</t>
  </si>
  <si>
    <t>G3</t>
  </si>
  <si>
    <t>H1</t>
  </si>
  <si>
    <t>H2</t>
  </si>
  <si>
    <t>I1</t>
  </si>
  <si>
    <t>승용차+택시</t>
    <phoneticPr fontId="2" type="noConversion"/>
  </si>
  <si>
    <t>승용차+택시</t>
    <phoneticPr fontId="2" type="noConversion"/>
  </si>
  <si>
    <t>비노선버스</t>
    <phoneticPr fontId="2" type="noConversion"/>
  </si>
  <si>
    <t>요약</t>
    <phoneticPr fontId="2" type="noConversion"/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</si>
  <si>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</si>
  <si>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</si>
  <si>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</si>
  <si>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연구시설</t>
    <phoneticPr fontId="2" type="noConversion"/>
  </si>
  <si>
    <t>첨단제조시설</t>
    <phoneticPr fontId="2" type="noConversion"/>
  </si>
  <si>
    <t>지식기반시설</t>
    <phoneticPr fontId="2" type="noConversion"/>
  </si>
  <si>
    <t>지원시설</t>
    <phoneticPr fontId="2" type="noConversion"/>
  </si>
  <si>
    <t>복합지원</t>
    <phoneticPr fontId="2" type="noConversion"/>
  </si>
  <si>
    <t>존 번호</t>
    <phoneticPr fontId="2" type="noConversion"/>
  </si>
  <si>
    <t>존 번호</t>
    <phoneticPr fontId="2" type="noConversion"/>
  </si>
  <si>
    <t>대/일</t>
    <phoneticPr fontId="2" type="noConversion"/>
  </si>
  <si>
    <t>대/일</t>
    <phoneticPr fontId="2" type="noConversion"/>
  </si>
  <si>
    <t>순유입인구비율</t>
    <phoneticPr fontId="2" type="noConversion"/>
  </si>
  <si>
    <t>도시개발사업</t>
    <phoneticPr fontId="2" type="noConversion"/>
  </si>
  <si>
    <t>소수점차이 인듯</t>
    <phoneticPr fontId="2" type="noConversion"/>
  </si>
  <si>
    <t>비노선버스</t>
    <phoneticPr fontId="2" type="noConversion"/>
  </si>
  <si>
    <t>주상복합</t>
  </si>
  <si>
    <t>M1</t>
  </si>
  <si>
    <t>M2</t>
  </si>
  <si>
    <t>M3</t>
  </si>
  <si>
    <t>M4</t>
  </si>
  <si>
    <t>A2</t>
  </si>
  <si>
    <t>근린생활시설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</si>
  <si>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</si>
  <si>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</si>
  <si>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</si>
  <si>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</si>
  <si>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</si>
  <si>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</si>
  <si>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</si>
  <si>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</si>
  <si>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</si>
  <si>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</si>
  <si>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주상복합( 상업포함)</t>
  </si>
  <si>
    <t>주상복합( 상업포함)</t>
    <phoneticPr fontId="2" type="noConversion"/>
  </si>
  <si>
    <t>지역-경기</t>
    <phoneticPr fontId="2" type="noConversion"/>
  </si>
  <si>
    <t>Modal Split</t>
    <phoneticPr fontId="2" type="noConversion"/>
  </si>
  <si>
    <t>재차인원적용</t>
    <phoneticPr fontId="2" type="noConversion"/>
  </si>
  <si>
    <t>통행분포</t>
    <phoneticPr fontId="2" type="noConversion"/>
  </si>
  <si>
    <t>수단선택</t>
    <phoneticPr fontId="2" type="noConversion"/>
  </si>
  <si>
    <t>지역-서울</t>
    <phoneticPr fontId="2" type="noConversion"/>
  </si>
  <si>
    <t>지역내</t>
    <phoneticPr fontId="2" type="noConversion"/>
  </si>
  <si>
    <t>요약</t>
    <phoneticPr fontId="2" type="noConversion"/>
  </si>
  <si>
    <t>대/일</t>
    <phoneticPr fontId="2" type="noConversion"/>
  </si>
  <si>
    <t>비노선버스</t>
    <phoneticPr fontId="2" type="noConversion"/>
  </si>
  <si>
    <t>승용차+택시</t>
    <phoneticPr fontId="2" type="noConversion"/>
  </si>
  <si>
    <t>존 번호</t>
    <phoneticPr fontId="2" type="noConversion"/>
  </si>
  <si>
    <t>주상복합( 상업포함)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</si>
  <si>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</si>
  <si>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</si>
  <si>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</si>
  <si>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</si>
  <si>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Trip Attraction</t>
    <phoneticPr fontId="2" type="noConversion"/>
  </si>
  <si>
    <t>A1</t>
    <phoneticPr fontId="2" type="noConversion"/>
  </si>
  <si>
    <t>단독주택</t>
    <phoneticPr fontId="2" type="noConversion"/>
  </si>
  <si>
    <t>아파트 60 이하</t>
    <phoneticPr fontId="2" type="noConversion"/>
  </si>
  <si>
    <t>근린생활시설</t>
    <phoneticPr fontId="2" type="noConversion"/>
  </si>
  <si>
    <t>상업업무시설</t>
    <phoneticPr fontId="2" type="noConversion"/>
  </si>
  <si>
    <t>상업업무시설</t>
    <phoneticPr fontId="2" type="noConversion"/>
  </si>
  <si>
    <t>G2</t>
    <phoneticPr fontId="2" type="noConversion"/>
  </si>
  <si>
    <t>종교시설</t>
    <phoneticPr fontId="2" type="noConversion"/>
  </si>
  <si>
    <t>I1</t>
    <phoneticPr fontId="2" type="noConversion"/>
  </si>
  <si>
    <t>K1</t>
    <phoneticPr fontId="2" type="noConversion"/>
  </si>
  <si>
    <t>도시지원시설</t>
    <phoneticPr fontId="2" type="noConversion"/>
  </si>
  <si>
    <t>아파트 60-85</t>
    <phoneticPr fontId="2" type="noConversion"/>
  </si>
  <si>
    <t>근린생활시설</t>
    <phoneticPr fontId="2" type="noConversion"/>
  </si>
  <si>
    <t>교육시설</t>
    <phoneticPr fontId="2" type="noConversion"/>
  </si>
  <si>
    <t>단독주택</t>
    <phoneticPr fontId="2" type="noConversion"/>
  </si>
  <si>
    <t>아파트 60 이하</t>
    <phoneticPr fontId="2" type="noConversion"/>
  </si>
  <si>
    <t>아파트 60-85</t>
    <phoneticPr fontId="2" type="noConversion"/>
  </si>
  <si>
    <t>E2</t>
    <phoneticPr fontId="2" type="noConversion"/>
  </si>
  <si>
    <t>F1</t>
    <phoneticPr fontId="2" type="noConversion"/>
  </si>
  <si>
    <t>공공청사</t>
    <phoneticPr fontId="2" type="noConversion"/>
  </si>
  <si>
    <t>복합커뮤니티시설</t>
    <phoneticPr fontId="2" type="noConversion"/>
  </si>
  <si>
    <t>기준년도로 변경해야함!!</t>
    <phoneticPr fontId="2" type="noConversion"/>
  </si>
  <si>
    <t>&lt; 표 3- &gt; 장래 통행목적별 통행발생량 예측결과 (유입 + 유출)</t>
    <phoneticPr fontId="2" type="noConversion"/>
  </si>
  <si>
    <t>(통행/일)</t>
    <phoneticPr fontId="2" type="noConversion"/>
  </si>
  <si>
    <t>유출 or 유입</t>
    <phoneticPr fontId="2" type="noConversion"/>
  </si>
  <si>
    <t>아파트 60 이하</t>
  </si>
  <si>
    <t>아파트 60 이하 
+ 아파트 60-85</t>
    <phoneticPr fontId="2" type="noConversion"/>
  </si>
  <si>
    <t>아파트 60-85</t>
  </si>
  <si>
    <t>주상복합 60-85
+ 85 초과</t>
  </si>
  <si>
    <t>주상복합 60-85</t>
  </si>
  <si>
    <t>주상복합 60-85
+ 85 초과</t>
    <phoneticPr fontId="2" type="noConversion"/>
  </si>
  <si>
    <t>주상복합 85 초과</t>
  </si>
  <si>
    <t>주상복합 85 초과</t>
    <phoneticPr fontId="2" type="noConversion"/>
  </si>
  <si>
    <t>복합커뮤니티시설</t>
    <phoneticPr fontId="2" type="noConversion"/>
  </si>
  <si>
    <t>총 계</t>
    <phoneticPr fontId="2" type="noConversion"/>
  </si>
  <si>
    <t>총 계</t>
    <phoneticPr fontId="2" type="noConversion"/>
  </si>
  <si>
    <t>지역-외곽</t>
    <phoneticPr fontId="2" type="noConversion"/>
  </si>
  <si>
    <t>J1</t>
  </si>
  <si>
    <t>K1</t>
  </si>
  <si>
    <t>아파트 60 이하</t>
    <phoneticPr fontId="2" type="noConversion"/>
  </si>
  <si>
    <t>B6</t>
    <phoneticPr fontId="2" type="noConversion"/>
  </si>
  <si>
    <r>
      <t>2024</t>
    </r>
    <r>
      <rPr>
        <sz val="10"/>
        <color rgb="FF000000"/>
        <rFont val="HY신명조"/>
        <family val="3"/>
        <charset val="129"/>
      </rPr>
      <t>년</t>
    </r>
  </si>
  <si>
    <r>
      <t>2028</t>
    </r>
    <r>
      <rPr>
        <sz val="10"/>
        <color rgb="FF000000"/>
        <rFont val="HY신명조"/>
        <family val="3"/>
        <charset val="129"/>
      </rPr>
      <t>년</t>
    </r>
  </si>
  <si>
    <t>pp-168</t>
    <phoneticPr fontId="2" type="noConversion"/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</si>
  <si>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</si>
  <si>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2024</t>
    </r>
    <r>
      <rPr>
        <b/>
        <sz val="9"/>
        <color rgb="FF000000"/>
        <rFont val="08서울남산체 B"/>
        <family val="3"/>
        <charset val="129"/>
      </rPr>
      <t>년 총 통행량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통행</t>
    </r>
    <r>
      <rPr>
        <b/>
        <sz val="9"/>
        <color rgb="FF000000"/>
        <rFont val="맑은 고딕"/>
        <family val="3"/>
        <charset val="129"/>
        <scheme val="minor"/>
      </rPr>
      <t>/</t>
    </r>
    <r>
      <rPr>
        <b/>
        <sz val="9"/>
        <color rgb="FF000000"/>
        <rFont val="08서울남산체 B"/>
        <family val="3"/>
        <charset val="129"/>
      </rPr>
      <t>일</t>
    </r>
    <r>
      <rPr>
        <b/>
        <sz val="9"/>
        <color rgb="FF000000"/>
        <rFont val="맑은 고딕"/>
        <family val="3"/>
        <charset val="129"/>
        <scheme val="minor"/>
      </rPr>
      <t xml:space="preserve">) 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</si>
  <si>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</si>
  <si>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위락시설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</si>
  <si>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r>
      <t>객석수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석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</si>
  <si>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),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</si>
  <si>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</si>
  <si>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t xml:space="preserve">판매시설 </t>
  </si>
  <si>
    <r>
      <t>문화 및 집회시설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</si>
  <si>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 xml:space="preserve">T2 </t>
    </r>
    <r>
      <rPr>
        <b/>
        <sz val="9"/>
        <color rgb="FF000000"/>
        <rFont val="08서울남산체 B"/>
        <family val="3"/>
        <charset val="129"/>
      </rPr>
      <t>합계</t>
    </r>
  </si>
  <si>
    <t xml:space="preserve">&lt;표 5-3-15&gt; 사업지 1일 총 활동인구 예측(T1부지)
</t>
    <phoneticPr fontId="2" type="noConversion"/>
  </si>
  <si>
    <t>&lt;표 5-3-21&gt; 장래 목표연도 1일 총 통행량 예측(T2부지 전체)</t>
    <phoneticPr fontId="2" type="noConversion"/>
  </si>
  <si>
    <t>구 분(평일)</t>
  </si>
  <si>
    <t>구 분(평일)</t>
    <phoneticPr fontId="2" type="noConversion"/>
  </si>
  <si>
    <t>T1</t>
  </si>
  <si>
    <t>T1</t>
    <phoneticPr fontId="2" type="noConversion"/>
  </si>
  <si>
    <t>T2</t>
  </si>
  <si>
    <t>T2</t>
    <phoneticPr fontId="2" type="noConversion"/>
  </si>
  <si>
    <t>구 분 (평일)</t>
  </si>
  <si>
    <t>구 분 (평일)</t>
    <phoneticPr fontId="2" type="noConversion"/>
  </si>
  <si>
    <t>방송시설(방송통신시설)</t>
  </si>
  <si>
    <t>위락시설(테마파크)</t>
  </si>
  <si>
    <t>방송시설(스튜디오)</t>
  </si>
  <si>
    <t>문화 및 집회시설(아레나)</t>
  </si>
  <si>
    <t>T1방송시설(방송통신시설)</t>
  </si>
  <si>
    <t>T1방송시설(방송통신시설)</t>
    <phoneticPr fontId="2" type="noConversion"/>
  </si>
  <si>
    <t>T1판매시설</t>
  </si>
  <si>
    <t>T1판매시설</t>
    <phoneticPr fontId="2" type="noConversion"/>
  </si>
  <si>
    <t>T1위락시설(테마파크)</t>
  </si>
  <si>
    <t>T1위락시설(테마파크)</t>
    <phoneticPr fontId="2" type="noConversion"/>
  </si>
  <si>
    <t xml:space="preserve">T2판매시설 </t>
  </si>
  <si>
    <t xml:space="preserve">T2판매시설 </t>
    <phoneticPr fontId="2" type="noConversion"/>
  </si>
  <si>
    <t>T2방송시설(스튜디오)</t>
  </si>
  <si>
    <t>T2방송시설(스튜디오)</t>
    <phoneticPr fontId="2" type="noConversion"/>
  </si>
  <si>
    <t>T2위락시설(테마파크)</t>
  </si>
  <si>
    <t>T2위락시설(테마파크)</t>
    <phoneticPr fontId="2" type="noConversion"/>
  </si>
  <si>
    <t>T2문화 및 집회시설(아레나)</t>
  </si>
  <si>
    <t>T2문화 및 집회시설(아레나)</t>
    <phoneticPr fontId="2" type="noConversion"/>
  </si>
  <si>
    <t>연면적(㎡)</t>
  </si>
  <si>
    <t xml:space="preserve">2024년 총 통행량(통행/일) </t>
  </si>
  <si>
    <t>연면적(㎡),</t>
  </si>
  <si>
    <t>객석수(석)</t>
  </si>
  <si>
    <t>존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</si>
  <si>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  <phoneticPr fontId="2" type="noConversion"/>
  </si>
  <si>
    <t>승용차</t>
    <phoneticPr fontId="2" type="noConversion"/>
  </si>
  <si>
    <t>유출</t>
    <phoneticPr fontId="2" type="noConversion"/>
  </si>
  <si>
    <t>택시</t>
    <phoneticPr fontId="2" type="noConversion"/>
  </si>
  <si>
    <t>유입</t>
    <phoneticPr fontId="2" type="noConversion"/>
  </si>
  <si>
    <t>유출</t>
    <phoneticPr fontId="2" type="noConversion"/>
  </si>
  <si>
    <t>지하철</t>
    <phoneticPr fontId="2" type="noConversion"/>
  </si>
  <si>
    <t>도보기타</t>
    <phoneticPr fontId="2" type="noConversion"/>
  </si>
  <si>
    <t>유입</t>
    <phoneticPr fontId="2" type="noConversion"/>
  </si>
  <si>
    <t>합계</t>
    <phoneticPr fontId="2" type="noConversion"/>
  </si>
  <si>
    <t>유출</t>
    <phoneticPr fontId="2" type="noConversion"/>
  </si>
  <si>
    <t>버스</t>
    <phoneticPr fontId="2" type="noConversion"/>
  </si>
  <si>
    <t>2015년</t>
    <phoneticPr fontId="2" type="noConversion"/>
  </si>
  <si>
    <t>2020년</t>
    <phoneticPr fontId="2" type="noConversion"/>
  </si>
  <si>
    <t>관광문화</t>
  </si>
  <si>
    <t>관광문화</t>
    <phoneticPr fontId="2" type="noConversion"/>
  </si>
  <si>
    <t>순유입인구비율적용</t>
    <phoneticPr fontId="2" type="noConversion"/>
  </si>
  <si>
    <t>pp-81 ~ 84</t>
    <phoneticPr fontId="2" type="noConversion"/>
  </si>
  <si>
    <t>대/일</t>
    <phoneticPr fontId="2" type="noConversion"/>
  </si>
  <si>
    <t>차종구분</t>
  </si>
  <si>
    <t>평균적재능력</t>
  </si>
  <si>
    <r>
      <t>(</t>
    </r>
    <r>
      <rPr>
        <b/>
        <sz val="10"/>
        <color rgb="FF000000"/>
        <rFont val="휴먼고딕"/>
        <charset val="129"/>
      </rPr>
      <t>톤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대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</si>
  <si>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공차운행율</t>
  </si>
  <si>
    <t>(%)</t>
  </si>
  <si>
    <t>평균적재율</t>
  </si>
  <si>
    <r>
      <t xml:space="preserve">수송분담율 </t>
    </r>
    <r>
      <rPr>
        <b/>
        <sz val="10"/>
        <color rgb="FF000000"/>
        <rFont val="맑은 고딕"/>
        <family val="3"/>
        <charset val="129"/>
        <scheme val="minor"/>
      </rPr>
      <t>(%)</t>
    </r>
  </si>
  <si>
    <r>
      <t>1.0</t>
    </r>
    <r>
      <rPr>
        <sz val="10"/>
        <color rgb="FF000000"/>
        <rFont val="휴먼고딕"/>
        <charset val="129"/>
      </rPr>
      <t>톤 미만</t>
    </r>
  </si>
  <si>
    <t>중형</t>
  </si>
  <si>
    <r>
      <t>1.0</t>
    </r>
    <r>
      <rPr>
        <sz val="10"/>
        <color rgb="FF000000"/>
        <rFont val="휴먼고딕"/>
        <charset val="129"/>
      </rPr>
      <t>톤 이상〜</t>
    </r>
  </si>
  <si>
    <r>
      <t>8.0</t>
    </r>
    <r>
      <rPr>
        <sz val="10"/>
        <color rgb="FF000000"/>
        <rFont val="휴먼고딕"/>
        <charset val="129"/>
      </rPr>
      <t>톤 미만</t>
    </r>
  </si>
  <si>
    <r>
      <t>8.0</t>
    </r>
    <r>
      <rPr>
        <sz val="10"/>
        <color rgb="FF000000"/>
        <rFont val="휴먼고딕"/>
        <charset val="129"/>
      </rPr>
      <t>톤이상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휴먼고딕"/>
        <charset val="129"/>
      </rPr>
      <t>세미트레일러 및 트레일러</t>
    </r>
  </si>
  <si>
    <t>자료 : 1) 수송분담율은 현장조사치임
       2)「교통영향평가 지침, 2016.1.25. 국토해양부」제10조(교통영향분석 지표) 제3항 제2호, 3호에 의하여 산정하였음</t>
    <phoneticPr fontId="2" type="noConversion"/>
  </si>
  <si>
    <t xml:space="preserve">■ 차종별 화물수송 비율
</t>
    <phoneticPr fontId="2" type="noConversion"/>
  </si>
  <si>
    <t>pp-82</t>
    <phoneticPr fontId="2" type="noConversion"/>
  </si>
  <si>
    <t>계획인구 규모</t>
    <phoneticPr fontId="2" type="noConversion"/>
  </si>
  <si>
    <t>최초입주년도</t>
    <phoneticPr fontId="2" type="noConversion"/>
  </si>
  <si>
    <t>1년후</t>
    <phoneticPr fontId="2" type="noConversion"/>
  </si>
  <si>
    <t>2년후</t>
    <phoneticPr fontId="2" type="noConversion"/>
  </si>
  <si>
    <t>3년후</t>
    <phoneticPr fontId="2" type="noConversion"/>
  </si>
  <si>
    <t>4년후</t>
    <phoneticPr fontId="2" type="noConversion"/>
  </si>
  <si>
    <t>10만명초과</t>
    <phoneticPr fontId="2" type="noConversion"/>
  </si>
  <si>
    <t>5만명초과~10만명이하</t>
    <phoneticPr fontId="2" type="noConversion"/>
  </si>
  <si>
    <t>5만명이하</t>
    <phoneticPr fontId="2" type="noConversion"/>
  </si>
  <si>
    <t>교통부문 예바타당성조사 쟁점 연구, 2013, p-213</t>
    <phoneticPr fontId="2" type="noConversion"/>
  </si>
  <si>
    <t>택지 및 산업단지 장래 개발계획 반영시 고려사항, pp-4</t>
    <phoneticPr fontId="2" type="noConversion"/>
  </si>
  <si>
    <t>과업 상근인구 수</t>
    <phoneticPr fontId="2" type="noConversion"/>
  </si>
  <si>
    <t>과업 완료 시점</t>
    <phoneticPr fontId="2" type="noConversion"/>
  </si>
  <si>
    <t>&lt;표 3&gt; 계획인구 규모에 따른 계획인구 반영 비율 적용 기준</t>
    <phoneticPr fontId="2" type="noConversion"/>
  </si>
  <si>
    <t>공가율 적용 기준</t>
    <phoneticPr fontId="2" type="noConversion"/>
  </si>
  <si>
    <t>총 계</t>
    <phoneticPr fontId="2" type="noConversion"/>
  </si>
  <si>
    <t>pp-131</t>
    <phoneticPr fontId="2" type="noConversion"/>
  </si>
  <si>
    <t>제3장-사업지구 및 주변지역의 장래 교통수요.hwp</t>
    <phoneticPr fontId="2" type="noConversion"/>
  </si>
  <si>
    <t>과업 상주+상근 인구 수</t>
    <phoneticPr fontId="2" type="noConversion"/>
  </si>
  <si>
    <t>5년후</t>
  </si>
  <si>
    <t>6년후</t>
  </si>
  <si>
    <t>7년후</t>
  </si>
  <si>
    <t>8년후</t>
  </si>
  <si>
    <t>9년후</t>
  </si>
  <si>
    <t>10년후</t>
  </si>
  <si>
    <t>11년후</t>
  </si>
  <si>
    <t>12년후</t>
  </si>
  <si>
    <t>13년후</t>
  </si>
  <si>
    <t>14년후</t>
  </si>
  <si>
    <t>15년후</t>
  </si>
  <si>
    <t>16년후</t>
  </si>
  <si>
    <t>17년후</t>
  </si>
  <si>
    <t>18년후</t>
  </si>
  <si>
    <t>19년후</t>
  </si>
  <si>
    <t>20년후</t>
  </si>
  <si>
    <t>21년후</t>
  </si>
  <si>
    <t>22년후</t>
  </si>
  <si>
    <t>23년후</t>
  </si>
  <si>
    <t>24년후</t>
  </si>
  <si>
    <t>25년후</t>
  </si>
  <si>
    <t>26년후</t>
  </si>
  <si>
    <t>27년후</t>
  </si>
  <si>
    <t>28년후</t>
  </si>
  <si>
    <t>29년후</t>
  </si>
  <si>
    <t>30년후</t>
  </si>
  <si>
    <t>31년후</t>
  </si>
  <si>
    <t>32년후</t>
  </si>
  <si>
    <t>33년후</t>
  </si>
  <si>
    <t>34년후</t>
  </si>
  <si>
    <t>35년후</t>
  </si>
  <si>
    <t>36년후</t>
  </si>
  <si>
    <t>37년후</t>
  </si>
  <si>
    <t>38년후</t>
  </si>
  <si>
    <t>39년후</t>
  </si>
  <si>
    <t>40년후</t>
  </si>
  <si>
    <t>F1</t>
    <phoneticPr fontId="2" type="noConversion"/>
  </si>
  <si>
    <t>첨단제조시설</t>
    <phoneticPr fontId="2" type="noConversion"/>
  </si>
  <si>
    <t>승용차+택시</t>
    <phoneticPr fontId="2" type="noConversion"/>
  </si>
  <si>
    <t>트럭</t>
    <phoneticPr fontId="2" type="noConversion"/>
  </si>
  <si>
    <t>Trip Production</t>
    <phoneticPr fontId="2" type="noConversion"/>
  </si>
  <si>
    <t>Trip Attraction</t>
    <phoneticPr fontId="2" type="noConversion"/>
  </si>
  <si>
    <t>가동률 적용</t>
    <phoneticPr fontId="2" type="noConversion"/>
  </si>
  <si>
    <t>2020년도 수도권 여객 기종점통행량(O/D) 현행화 공동사업, 경기연구원  pp-588</t>
    <phoneticPr fontId="2" type="noConversion"/>
  </si>
  <si>
    <t>택지 및 산업단지 장래 개발계획 반영시 고려사항, pp-6</t>
    <phoneticPr fontId="2" type="noConversion"/>
  </si>
  <si>
    <t>순유입인구비율 적용 (주거시설에 대해서만)</t>
    <phoneticPr fontId="2" type="noConversion"/>
  </si>
  <si>
    <t>FD_pccar_taxi-od_O</t>
  </si>
  <si>
    <t>FD_pccar_taxi-od_D</t>
    <phoneticPr fontId="2" type="noConversion"/>
  </si>
  <si>
    <t>FD_bus-od_O</t>
  </si>
  <si>
    <t>FD_bus-od_D</t>
    <phoneticPr fontId="2" type="noConversion"/>
  </si>
  <si>
    <t>FD-F_fod_zone_O</t>
  </si>
  <si>
    <t>FD-F_fod_zone_D</t>
    <phoneticPr fontId="2" type="noConversion"/>
  </si>
  <si>
    <t>20_25</t>
  </si>
  <si>
    <t>25_30</t>
  </si>
  <si>
    <t>30_35</t>
  </si>
  <si>
    <t>35_40</t>
  </si>
  <si>
    <t>40_45</t>
  </si>
  <si>
    <t>45_50</t>
  </si>
  <si>
    <t>production</t>
  </si>
  <si>
    <t>attraction</t>
  </si>
  <si>
    <t xml:space="preserve">파일경로 : </t>
    <phoneticPr fontId="2" type="noConversion"/>
  </si>
  <si>
    <t>OD_distribution-total.csv</t>
  </si>
  <si>
    <t>X:\00_TLSYSLAB_Mighty_Drive\2021W12-킨텍스교차로개선사업-211026\2021W12-04-분석\2021W12-04-04_존세분화_네트워크수정\2021W21-04-04-02_사업지구_존세분화</t>
  </si>
  <si>
    <t>Z:\02_Completed_Works\2021W12-킨텍스교차로개선사업-211026\2021W12-99-Reference\관련_계획\2021.고양 일산테크노밸리 도시개발사업 교통영향평가(케이지엔지니어링)</t>
    <phoneticPr fontId="2" type="noConversion"/>
  </si>
  <si>
    <t>04. 재심의 수정의결보완서-21.08.19</t>
  </si>
  <si>
    <t>Z:\02_Completed_Works\2021W12-킨텍스교차로개선사업-211026\2021W12-99-Reference\관련_계획\2021.경기고양 방송영상밸리 도시개발사업 교통영향평가(삼안)</t>
    <phoneticPr fontId="2" type="noConversion"/>
  </si>
  <si>
    <t>여객OD</t>
    <phoneticPr fontId="2" type="noConversion"/>
  </si>
  <si>
    <t>화물OD</t>
    <phoneticPr fontId="2" type="noConversion"/>
  </si>
  <si>
    <t>OD_distribution-total_truck.csv</t>
    <phoneticPr fontId="2" type="noConversion"/>
  </si>
  <si>
    <t>장래 년도에 바꿔야할 셀</t>
    <phoneticPr fontId="2" type="noConversion"/>
  </si>
  <si>
    <t>복합지원</t>
    <phoneticPr fontId="2" type="noConversion"/>
  </si>
  <si>
    <t>용도시설별 통행도착량</t>
    <phoneticPr fontId="2" type="noConversion"/>
  </si>
  <si>
    <t>용도시설별 통행발생량</t>
    <phoneticPr fontId="2" type="noConversion"/>
  </si>
  <si>
    <t>용도시설별 통행도착량</t>
    <phoneticPr fontId="2" type="noConversion"/>
  </si>
  <si>
    <t>트럭</t>
    <phoneticPr fontId="2" type="noConversion"/>
  </si>
  <si>
    <t>사업지구 용도시설별 통행발생량 (입주율 적용 + 공가율적용_화물OD 적용X)</t>
    <phoneticPr fontId="2" type="noConversion"/>
  </si>
  <si>
    <t>사업지구 용도시설별 통행도착량 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</si>
  <si>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</si>
  <si>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</si>
  <si>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</si>
  <si>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</si>
  <si>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2035 고양시 도시기본계획 pp-109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</si>
  <si>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</si>
  <si>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트럭</t>
    <phoneticPr fontId="2" type="noConversion"/>
  </si>
  <si>
    <t>트럭</t>
    <phoneticPr fontId="2" type="noConversion"/>
  </si>
  <si>
    <t>트럭</t>
    <phoneticPr fontId="2" type="noConversion"/>
  </si>
  <si>
    <t>장항 1동 통행량 증가량</t>
    <phoneticPr fontId="35" type="noConversion"/>
  </si>
  <si>
    <t>OD_total_2025-zoneSep_pc_vpd-_4_to_6_final</t>
    <phoneticPr fontId="35" type="noConversion"/>
  </si>
  <si>
    <t>: 대 단위 장항 1동 통행량을 통해 계산하였음</t>
    <phoneticPr fontId="35" type="noConversion"/>
  </si>
  <si>
    <t>pccar_O</t>
    <phoneticPr fontId="35" type="noConversion"/>
  </si>
  <si>
    <t>pccar_D</t>
    <phoneticPr fontId="35" type="noConversion"/>
  </si>
  <si>
    <t>bus_O</t>
    <phoneticPr fontId="35" type="noConversion"/>
  </si>
  <si>
    <t>bus_D</t>
    <phoneticPr fontId="35" type="noConversion"/>
  </si>
  <si>
    <t>truck_O</t>
    <phoneticPr fontId="35" type="noConversion"/>
  </si>
  <si>
    <t>truck_D</t>
    <phoneticPr fontId="35" type="noConversion"/>
  </si>
  <si>
    <t>통행량증가율</t>
    <phoneticPr fontId="35" type="noConversion"/>
  </si>
  <si>
    <t>연평균증가량</t>
    <phoneticPr fontId="35" type="noConversion"/>
  </si>
  <si>
    <t>장항공공주택지구 발생 및 도착량</t>
    <phoneticPr fontId="35" type="noConversion"/>
  </si>
  <si>
    <t>장항 공공주택지구</t>
    <phoneticPr fontId="35" type="noConversion"/>
  </si>
  <si>
    <t>pccar_O</t>
    <phoneticPr fontId="35" type="noConversion"/>
  </si>
  <si>
    <t>pccar_D</t>
    <phoneticPr fontId="35" type="noConversion"/>
  </si>
  <si>
    <t>truck_O</t>
    <phoneticPr fontId="35" type="noConversion"/>
  </si>
  <si>
    <t>일산동구 통행증가율 (2020_2025)</t>
    <phoneticPr fontId="35" type="noConversion"/>
  </si>
  <si>
    <t>일산동구 통행증가율 (2025_2030)</t>
    <phoneticPr fontId="35" type="noConversion"/>
  </si>
  <si>
    <t>일산동구 통행증가율 (2030_2035)</t>
    <phoneticPr fontId="35" type="noConversion"/>
  </si>
  <si>
    <t>일산동구 통행증가율 (2035_2040)</t>
    <phoneticPr fontId="35" type="noConversion"/>
  </si>
  <si>
    <t>일산동구 통행증가율 (2040_2045)</t>
    <phoneticPr fontId="35" type="noConversion"/>
  </si>
  <si>
    <t>일산동구 통행증가율 (2045_2050)</t>
    <phoneticPr fontId="35" type="noConversion"/>
  </si>
  <si>
    <t>일산 동구(장항1동 제외) 통행량 증가율</t>
    <phoneticPr fontId="35" type="noConversion"/>
  </si>
  <si>
    <t>bus_O</t>
    <phoneticPr fontId="35" type="noConversion"/>
  </si>
  <si>
    <t>20_25</t>
    <phoneticPr fontId="35" type="noConversion"/>
  </si>
  <si>
    <t>25_30</t>
    <phoneticPr fontId="35" type="noConversion"/>
  </si>
  <si>
    <t>30_35</t>
    <phoneticPr fontId="35" type="noConversion"/>
  </si>
  <si>
    <t>35_40</t>
    <phoneticPr fontId="35" type="noConversion"/>
  </si>
  <si>
    <t>40_45</t>
    <phoneticPr fontId="35" type="noConversion"/>
  </si>
  <si>
    <t>45_50</t>
    <phoneticPr fontId="35" type="noConversion"/>
  </si>
  <si>
    <t>기준년도</t>
    <phoneticPr fontId="2" type="noConversion"/>
  </si>
  <si>
    <t>FD-F_fod_zone_O</t>
    <phoneticPr fontId="2" type="noConversion"/>
  </si>
  <si>
    <t>2030 Trip dsitribution</t>
    <phoneticPr fontId="2" type="noConversion"/>
  </si>
  <si>
    <t>FD_pccar_taxi-od_D</t>
    <phoneticPr fontId="2" type="noConversion"/>
  </si>
  <si>
    <t>FD_pccar_taxi-od_D</t>
    <phoneticPr fontId="2" type="noConversion"/>
  </si>
  <si>
    <t>FD_bus-od_D</t>
    <phoneticPr fontId="2" type="noConversion"/>
  </si>
  <si>
    <t>FD-F_fod_zone_O</t>
    <phoneticPr fontId="2" type="noConversion"/>
  </si>
  <si>
    <t>FD-F_fod_zone_D</t>
    <phoneticPr fontId="2" type="noConversion"/>
  </si>
  <si>
    <t>FD_pccar_taxi-od_D</t>
    <phoneticPr fontId="2" type="noConversion"/>
  </si>
  <si>
    <t>FD_bus-od_D</t>
    <phoneticPr fontId="2" type="noConversion"/>
  </si>
  <si>
    <t>FD-F_fod_zone_O</t>
    <phoneticPr fontId="2" type="noConversion"/>
  </si>
  <si>
    <t>FD-F_fod_zone_D</t>
    <phoneticPr fontId="2" type="noConversion"/>
  </si>
  <si>
    <t>FD-F_fod_zone_D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</si>
</sst>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176" formatCode="0_ "/>
    <numFmt numFmtId="177" formatCode="0.0000"/>
    <numFmt numFmtId="178" formatCode="0.0%"/>
    <numFmt numFmtId="179" formatCode="0.00_ "/>
    <numFmt numFmtId="180" formatCode="0.0000_ "/>
    <numFmt numFmtId="181" formatCode="0.0000000000_ "/>
    <numFmt numFmtId="182" formatCode="0.0000000000_);[Red]\(0.0000000000\)"/>
  </numFmts>
  <fonts count="49">
    <font>
      <sz val="11"/>
      <color theme="1"/>
      <name val="맑은 고딕"/>
      <family val="2"/>
      <scheme val="minor"/>
    </font>
    <font>
      <sz val="10"/>
      <color rgb="FF000000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b/>
      <sz val="10"/>
      <color rgb="FF000000"/>
      <name val="휴먼고딕"/>
      <charset val="129"/>
    </font>
    <font>
      <b/>
      <sz val="10"/>
      <color rgb="FF000000"/>
      <name val="맑은 고딕"/>
      <family val="3"/>
      <charset val="129"/>
      <scheme val="minor"/>
    </font>
    <font>
      <sz val="10"/>
      <color rgb="FF000000"/>
      <name val="휴먼고딕"/>
      <charset val="129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13"/>
      <color rgb="FF0070C0"/>
      <name val="맑은 고딕"/>
      <family val="3"/>
      <charset val="129"/>
      <scheme val="minor"/>
    </font>
    <font>
      <b/>
      <sz val="30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rgb="FF000000"/>
      <name val="HY신명조"/>
      <family val="3"/>
      <charset val="129"/>
    </font>
    <font>
      <sz val="10"/>
      <color rgb="FF000000"/>
      <name val="HY신명조"/>
      <family val="3"/>
      <charset val="129"/>
    </font>
    <font>
      <b/>
      <sz val="9"/>
      <color rgb="FF000000"/>
      <name val="HY신명조"/>
      <family val="3"/>
      <charset val="129"/>
    </font>
    <font>
      <b/>
      <sz val="9"/>
      <color rgb="FF000000"/>
      <name val="맑은 고딕"/>
      <family val="3"/>
      <charset val="129"/>
      <scheme val="minor"/>
    </font>
    <font>
      <sz val="9"/>
      <color rgb="FF000000"/>
      <name val="맑은 고딕"/>
      <family val="3"/>
      <charset val="129"/>
      <scheme val="minor"/>
    </font>
    <font>
      <sz val="9"/>
      <color rgb="FF000000"/>
      <name val="HY신명조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b/>
      <sz val="15"/>
      <color theme="4"/>
      <name val="맑은 고딕"/>
      <family val="3"/>
      <charset val="129"/>
      <scheme val="minor"/>
    </font>
    <font>
      <b/>
      <sz val="15"/>
      <color theme="5"/>
      <name val="맑은 고딕"/>
      <family val="3"/>
      <charset val="129"/>
      <scheme val="minor"/>
    </font>
    <font>
      <b/>
      <sz val="10"/>
      <color rgb="FF000000"/>
      <name val="가는둥근제목체"/>
      <family val="3"/>
      <charset val="129"/>
    </font>
    <font>
      <sz val="10"/>
      <color rgb="FF000000"/>
      <name val="가는둥근제목체"/>
      <family val="3"/>
      <charset val="129"/>
    </font>
    <font>
      <sz val="10.199999999999999"/>
      <color rgb="FF000000"/>
      <name val="맑은 고딕"/>
      <family val="3"/>
      <charset val="129"/>
      <scheme val="minor"/>
    </font>
    <font>
      <b/>
      <sz val="13"/>
      <color theme="1"/>
      <name val="맑은 고딕"/>
      <family val="3"/>
      <charset val="129"/>
      <scheme val="minor"/>
    </font>
    <font>
      <b/>
      <sz val="15"/>
      <color rgb="FF00B0F0"/>
      <name val="맑은 고딕"/>
      <family val="3"/>
      <charset val="129"/>
      <scheme val="minor"/>
    </font>
    <font>
      <b/>
      <sz val="12"/>
      <color rgb="FF00B0F0"/>
      <name val="맑은 고딕"/>
      <family val="3"/>
      <charset val="129"/>
      <scheme val="minor"/>
    </font>
    <font>
      <b/>
      <sz val="12"/>
      <color theme="5"/>
      <name val="맑은 고딕"/>
      <family val="3"/>
      <charset val="129"/>
      <scheme val="minor"/>
    </font>
    <font>
      <b/>
      <sz val="9"/>
      <color rgb="FF000000"/>
      <name val="08서울남산체 B"/>
      <family val="3"/>
      <charset val="129"/>
    </font>
    <font>
      <b/>
      <sz val="11"/>
      <color rgb="FF000000"/>
      <name val="08서울남산체 B"/>
      <family val="3"/>
      <charset val="129"/>
    </font>
    <font>
      <sz val="9"/>
      <color rgb="FF000000"/>
      <name val="08서울남산체 B"/>
      <family val="3"/>
      <charset val="129"/>
    </font>
    <font>
      <sz val="10"/>
      <color rgb="FF000000"/>
      <name val="08서울남산체 B"/>
      <family val="3"/>
      <charset val="129"/>
    </font>
    <font>
      <sz val="11"/>
      <color rgb="FF000000"/>
      <name val="맑은 고딕"/>
      <family val="3"/>
      <charset val="129"/>
      <scheme val="minor"/>
    </font>
    <font>
      <sz val="11"/>
      <color rgb="FF000000"/>
      <name val="08서울남산체 B"/>
      <family val="3"/>
      <charset val="129"/>
    </font>
    <font>
      <sz val="8"/>
      <name val="맑은 고딕"/>
      <family val="2"/>
      <charset val="129"/>
      <scheme val="minor"/>
    </font>
    <font>
      <sz val="20"/>
      <color theme="1"/>
      <name val="맑은 고딕"/>
      <family val="2"/>
      <scheme val="minor"/>
    </font>
    <font>
      <sz val="20"/>
      <color rgb="FF000000"/>
      <name val="휴먼고딕"/>
      <charset val="129"/>
    </font>
    <font>
      <b/>
      <sz val="15"/>
      <color theme="1"/>
      <name val="맑은 고딕"/>
      <family val="3"/>
      <charset val="129"/>
      <scheme val="minor"/>
    </font>
    <font>
      <sz val="10"/>
      <color rgb="FF000000"/>
      <name val="신명 신문명조"/>
      <family val="3"/>
      <charset val="129"/>
    </font>
    <font>
      <sz val="10"/>
      <color rgb="FF000000"/>
      <name val="HCI Hollyhock"/>
      <family val="2"/>
    </font>
    <font>
      <b/>
      <sz val="20"/>
      <color theme="1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  <font>
      <b/>
      <sz val="20"/>
      <color rgb="FF000000"/>
      <name val="휴먼고딕"/>
      <charset val="129"/>
    </font>
    <font>
      <b/>
      <sz val="25"/>
      <color rgb="FF000000"/>
      <name val="맑은 고딕"/>
      <family val="3"/>
      <charset val="129"/>
      <scheme val="minor"/>
    </font>
    <font>
      <b/>
      <sz val="15"/>
      <color rgb="FF000000"/>
      <name val="휴먼고딕"/>
      <charset val="129"/>
    </font>
    <font>
      <b/>
      <sz val="15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D8D8D8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D6D6D6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E5E5E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FF33"/>
        <bgColor indexed="64"/>
      </patternFill>
    </fill>
    <fill>
      <patternFill patternType="solid">
        <fgColor rgb="FFFFC000"/>
        <bgColor indexed="64"/>
      </patternFill>
    </fill>
  </fills>
  <borders count="149">
    <border>
      <left/>
      <right/>
      <top/>
      <bottom/>
      <diagonal/>
    </border>
    <border>
      <left style="thick">
        <color rgb="FF000000"/>
      </left>
      <right/>
      <top style="thick">
        <color rgb="FF000000"/>
      </top>
      <bottom/>
      <diagonal/>
    </border>
    <border>
      <left/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ck">
        <color rgb="FF000000"/>
      </left>
      <right/>
      <top/>
      <bottom style="double">
        <color rgb="FF000000"/>
      </bottom>
      <diagonal/>
    </border>
    <border>
      <left/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/>
      <top style="thick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ck">
        <color rgb="FF000000"/>
      </top>
      <bottom/>
      <diagonal/>
    </border>
    <border>
      <left/>
      <right style="thick">
        <color rgb="FF000000"/>
      </right>
      <top style="thick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/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/>
      <diagonal/>
    </border>
    <border>
      <left style="thick">
        <color rgb="FF000000"/>
      </left>
      <right style="thin">
        <color rgb="FF000000"/>
      </right>
      <top/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/>
      <top style="thin">
        <color rgb="FF000000"/>
      </top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thin">
        <color rgb="FF000000"/>
      </bottom>
      <diagonal/>
    </border>
    <border>
      <left/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/>
      <bottom style="double">
        <color rgb="FF000000"/>
      </bottom>
      <diagonal/>
    </border>
    <border>
      <left/>
      <right style="thin">
        <color rgb="FF000000"/>
      </right>
      <top style="double">
        <color rgb="FF000000"/>
      </top>
      <bottom/>
      <diagonal/>
    </border>
    <border>
      <left/>
      <right style="thin">
        <color rgb="FF000000"/>
      </right>
      <top/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/>
      <diagonal/>
    </border>
    <border>
      <left/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double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/>
      <diagonal/>
    </border>
    <border>
      <left style="thin">
        <color rgb="FF000000"/>
      </left>
      <right/>
      <top/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rgb="FF000000"/>
      </right>
      <top style="medium">
        <color indexed="64"/>
      </top>
      <bottom/>
      <diagonal/>
    </border>
    <border>
      <left style="thin">
        <color rgb="FF000000"/>
      </left>
      <right/>
      <top style="medium">
        <color indexed="64"/>
      </top>
      <bottom style="thin">
        <color rgb="FF000000"/>
      </bottom>
      <diagonal/>
    </border>
    <border>
      <left/>
      <right/>
      <top style="medium">
        <color indexed="64"/>
      </top>
      <bottom style="thin">
        <color rgb="FF000000"/>
      </bottom>
      <diagonal/>
    </border>
    <border>
      <left/>
      <right style="thin">
        <color rgb="FF000000"/>
      </right>
      <top style="medium">
        <color indexed="64"/>
      </top>
      <bottom style="thin">
        <color rgb="FF000000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double">
        <color rgb="FF000000"/>
      </bottom>
      <diagonal/>
    </border>
    <border>
      <left style="medium">
        <color indexed="64"/>
      </left>
      <right style="thin">
        <color rgb="FF000000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/>
      <top style="thin">
        <color rgb="FF000000"/>
      </top>
      <bottom style="medium">
        <color indexed="64"/>
      </bottom>
      <diagonal/>
    </border>
    <border>
      <left/>
      <right/>
      <top style="thin">
        <color rgb="FF000000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double">
        <color rgb="FF000000"/>
      </right>
      <top style="thick">
        <color rgb="FF000000"/>
      </top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double">
        <color rgb="FF000000"/>
      </right>
      <top style="double">
        <color rgb="FF000000"/>
      </top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/>
      <diagonal/>
    </border>
    <border>
      <left style="thin">
        <color rgb="FF000000"/>
      </left>
      <right style="double">
        <color rgb="FF000000"/>
      </right>
      <top/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double">
        <color rgb="FF000000"/>
      </right>
      <top style="thick">
        <color rgb="FF000000"/>
      </top>
      <bottom/>
      <diagonal/>
    </border>
    <border>
      <left/>
      <right style="double">
        <color rgb="FF000000"/>
      </right>
      <top/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9" fontId="42" fillId="0" borderId="0" applyFont="0" applyFill="0" applyBorder="0" applyAlignment="0" applyProtection="0">
      <alignment vertical="center"/>
    </xf>
    <xf numFmtId="0" fontId="48" fillId="0" borderId="0">
      <alignment vertical="center"/>
    </xf>
  </cellStyleXfs>
  <cellXfs count="661">
    <xf numFmtId="0" fontId="0" fillId="0" borderId="0" xfId="0"/>
    <xf numFmtId="0" fontId="3" fillId="2" borderId="7" xfId="0" applyFont="1" applyFill="1" applyBorder="1" applyAlignment="1">
      <alignment horizontal="center" vertical="center" wrapText="1"/>
    </xf>
    <xf numFmtId="0" fontId="3" fillId="2" borderId="8" xfId="0" applyFont="1" applyFill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  <xf numFmtId="0" fontId="3" fillId="2" borderId="17" xfId="0" applyFont="1" applyFill="1" applyBorder="1" applyAlignment="1">
      <alignment horizontal="center" vertical="center" wrapText="1"/>
    </xf>
    <xf numFmtId="0" fontId="3" fillId="2" borderId="18" xfId="0" applyFont="1" applyFill="1" applyBorder="1" applyAlignment="1">
      <alignment horizontal="center" vertical="center" wrapText="1"/>
    </xf>
    <xf numFmtId="0" fontId="1" fillId="0" borderId="22" xfId="0" applyFont="1" applyBorder="1" applyAlignment="1">
      <alignment horizontal="center" vertical="center" wrapText="1"/>
    </xf>
    <xf numFmtId="0" fontId="1" fillId="0" borderId="23" xfId="0" applyFont="1" applyBorder="1" applyAlignment="1">
      <alignment horizontal="center" vertical="center" wrapText="1"/>
    </xf>
    <xf numFmtId="3" fontId="1" fillId="0" borderId="27" xfId="0" applyNumberFormat="1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3" fontId="1" fillId="0" borderId="28" xfId="0" applyNumberFormat="1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0" fillId="0" borderId="31" xfId="0" applyBorder="1" applyAlignment="1">
      <alignment vertical="center" wrapText="1"/>
    </xf>
    <xf numFmtId="0" fontId="5" fillId="0" borderId="27" xfId="0" applyFont="1" applyBorder="1" applyAlignment="1">
      <alignment horizontal="center" vertical="center" wrapText="1"/>
    </xf>
    <xf numFmtId="0" fontId="1" fillId="0" borderId="35" xfId="0" applyFont="1" applyBorder="1" applyAlignment="1">
      <alignment horizontal="center" vertical="center" wrapText="1"/>
    </xf>
    <xf numFmtId="3" fontId="1" fillId="0" borderId="35" xfId="0" applyNumberFormat="1" applyFont="1" applyBorder="1" applyAlignment="1">
      <alignment horizontal="center" vertical="center" wrapText="1"/>
    </xf>
    <xf numFmtId="3" fontId="1" fillId="0" borderId="36" xfId="0" applyNumberFormat="1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3" fontId="1" fillId="0" borderId="0" xfId="0" applyNumberFormat="1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 wrapText="1"/>
    </xf>
    <xf numFmtId="0" fontId="5" fillId="0" borderId="32" xfId="0" applyFont="1" applyBorder="1" applyAlignment="1">
      <alignment horizontal="center" vertical="center" wrapText="1"/>
    </xf>
    <xf numFmtId="0" fontId="10" fillId="0" borderId="0" xfId="0" applyFont="1"/>
    <xf numFmtId="0" fontId="11" fillId="0" borderId="0" xfId="0" applyFont="1"/>
    <xf numFmtId="0" fontId="5" fillId="2" borderId="17" xfId="0" applyFont="1" applyFill="1" applyBorder="1" applyAlignment="1">
      <alignment horizontal="center" vertical="center" wrapText="1"/>
    </xf>
    <xf numFmtId="0" fontId="5" fillId="2" borderId="18" xfId="0" applyFont="1" applyFill="1" applyBorder="1" applyAlignment="1">
      <alignment horizontal="center" vertical="center" wrapText="1"/>
    </xf>
    <xf numFmtId="0" fontId="4" fillId="0" borderId="35" xfId="0" applyFont="1" applyBorder="1" applyAlignment="1">
      <alignment horizontal="center" vertical="center" wrapText="1"/>
    </xf>
    <xf numFmtId="3" fontId="4" fillId="0" borderId="35" xfId="0" applyNumberFormat="1" applyFont="1" applyBorder="1" applyAlignment="1">
      <alignment horizontal="center" vertical="center" wrapText="1"/>
    </xf>
    <xf numFmtId="3" fontId="4" fillId="0" borderId="36" xfId="0" applyNumberFormat="1" applyFont="1" applyBorder="1" applyAlignment="1">
      <alignment horizontal="center" vertical="center" wrapText="1"/>
    </xf>
    <xf numFmtId="0" fontId="12" fillId="0" borderId="0" xfId="0" applyFont="1"/>
    <xf numFmtId="0" fontId="12" fillId="0" borderId="0" xfId="0" applyFont="1" applyAlignment="1">
      <alignment horizontal="center"/>
    </xf>
    <xf numFmtId="0" fontId="0" fillId="3" borderId="0" xfId="0" applyFill="1"/>
    <xf numFmtId="0" fontId="13" fillId="4" borderId="40" xfId="0" applyFont="1" applyFill="1" applyBorder="1" applyAlignment="1">
      <alignment horizontal="center" vertical="center" wrapText="1"/>
    </xf>
    <xf numFmtId="0" fontId="13" fillId="4" borderId="17" xfId="0" applyFont="1" applyFill="1" applyBorder="1" applyAlignment="1">
      <alignment horizontal="center" vertical="center" wrapText="1"/>
    </xf>
    <xf numFmtId="0" fontId="13" fillId="4" borderId="49" xfId="0" applyFont="1" applyFill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 wrapText="1"/>
    </xf>
    <xf numFmtId="0" fontId="1" fillId="0" borderId="50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0" fontId="1" fillId="0" borderId="40" xfId="0" applyFont="1" applyBorder="1" applyAlignment="1">
      <alignment horizontal="center" vertical="center" wrapText="1"/>
    </xf>
    <xf numFmtId="0" fontId="14" fillId="0" borderId="34" xfId="0" applyFont="1" applyBorder="1" applyAlignment="1">
      <alignment horizontal="center" vertical="center" wrapText="1"/>
    </xf>
    <xf numFmtId="3" fontId="1" fillId="0" borderId="48" xfId="0" applyNumberFormat="1" applyFont="1" applyBorder="1" applyAlignment="1">
      <alignment horizontal="center" vertical="center" wrapText="1"/>
    </xf>
    <xf numFmtId="0" fontId="14" fillId="0" borderId="22" xfId="0" applyFont="1" applyBorder="1" applyAlignment="1">
      <alignment horizontal="center" vertical="center" wrapText="1"/>
    </xf>
    <xf numFmtId="0" fontId="14" fillId="0" borderId="50" xfId="0" applyFont="1" applyBorder="1" applyAlignment="1">
      <alignment horizontal="center" vertical="center" wrapText="1"/>
    </xf>
    <xf numFmtId="0" fontId="14" fillId="0" borderId="27" xfId="0" applyFont="1" applyBorder="1" applyAlignment="1">
      <alignment horizontal="center" vertical="center" wrapText="1"/>
    </xf>
    <xf numFmtId="0" fontId="14" fillId="0" borderId="40" xfId="0" applyFont="1" applyBorder="1" applyAlignment="1">
      <alignment horizontal="center" vertical="center" wrapText="1"/>
    </xf>
    <xf numFmtId="0" fontId="14" fillId="0" borderId="35" xfId="0" applyFont="1" applyBorder="1" applyAlignment="1">
      <alignment horizontal="center" vertical="center" wrapText="1"/>
    </xf>
    <xf numFmtId="0" fontId="14" fillId="0" borderId="48" xfId="0" applyFont="1" applyBorder="1" applyAlignment="1">
      <alignment horizontal="center" vertical="center" wrapText="1"/>
    </xf>
    <xf numFmtId="0" fontId="15" fillId="4" borderId="17" xfId="0" applyFont="1" applyFill="1" applyBorder="1" applyAlignment="1">
      <alignment horizontal="center" vertical="center" wrapText="1"/>
    </xf>
    <xf numFmtId="3" fontId="14" fillId="0" borderId="35" xfId="0" applyNumberFormat="1" applyFont="1" applyBorder="1" applyAlignment="1">
      <alignment horizontal="center" vertical="center" wrapText="1"/>
    </xf>
    <xf numFmtId="3" fontId="14" fillId="0" borderId="48" xfId="0" applyNumberFormat="1" applyFont="1" applyBorder="1" applyAlignment="1">
      <alignment horizontal="center" vertical="center" wrapText="1"/>
    </xf>
    <xf numFmtId="0" fontId="13" fillId="2" borderId="17" xfId="0" applyFont="1" applyFill="1" applyBorder="1" applyAlignment="1">
      <alignment horizontal="center" vertical="center" wrapText="1"/>
    </xf>
    <xf numFmtId="0" fontId="13" fillId="2" borderId="49" xfId="0" applyFont="1" applyFill="1" applyBorder="1" applyAlignment="1">
      <alignment horizontal="center" vertical="center" wrapText="1"/>
    </xf>
    <xf numFmtId="0" fontId="1" fillId="0" borderId="48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center" vertical="center" wrapText="1"/>
    </xf>
    <xf numFmtId="0" fontId="1" fillId="0" borderId="0" xfId="0" applyFont="1" applyFill="1" applyBorder="1" applyAlignment="1">
      <alignment horizontal="left" vertical="center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right" vertical="center"/>
    </xf>
    <xf numFmtId="0" fontId="0" fillId="0" borderId="0" xfId="0" applyAlignment="1">
      <alignment horizontal="right"/>
    </xf>
    <xf numFmtId="0" fontId="13" fillId="4" borderId="47" xfId="0" applyFont="1" applyFill="1" applyBorder="1" applyAlignment="1">
      <alignment horizontal="center" vertical="center" wrapText="1"/>
    </xf>
    <xf numFmtId="0" fontId="13" fillId="4" borderId="54" xfId="0" applyFont="1" applyFill="1" applyBorder="1" applyAlignment="1">
      <alignment horizontal="center" vertical="center" wrapText="1"/>
    </xf>
    <xf numFmtId="3" fontId="14" fillId="0" borderId="56" xfId="0" applyNumberFormat="1" applyFont="1" applyBorder="1" applyAlignment="1">
      <alignment horizontal="center" vertical="center" wrapText="1"/>
    </xf>
    <xf numFmtId="0" fontId="14" fillId="0" borderId="56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3" fontId="1" fillId="0" borderId="56" xfId="0" applyNumberFormat="1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3" fontId="1" fillId="3" borderId="56" xfId="0" applyNumberFormat="1" applyFont="1" applyFill="1" applyBorder="1" applyAlignment="1">
      <alignment horizontal="center" vertical="center" wrapText="1"/>
    </xf>
    <xf numFmtId="0" fontId="0" fillId="5" borderId="0" xfId="0" applyFill="1"/>
    <xf numFmtId="0" fontId="19" fillId="0" borderId="0" xfId="0" applyFont="1"/>
    <xf numFmtId="0" fontId="3" fillId="4" borderId="60" xfId="0" applyFont="1" applyFill="1" applyBorder="1" applyAlignment="1">
      <alignment horizontal="center" vertical="center" wrapText="1"/>
    </xf>
    <xf numFmtId="0" fontId="3" fillId="4" borderId="61" xfId="0" applyFont="1" applyFill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10" fontId="1" fillId="0" borderId="22" xfId="0" applyNumberFormat="1" applyFont="1" applyBorder="1" applyAlignment="1">
      <alignment horizontal="center" vertical="center" wrapText="1"/>
    </xf>
    <xf numFmtId="10" fontId="1" fillId="0" borderId="21" xfId="0" applyNumberFormat="1" applyFont="1" applyBorder="1" applyAlignment="1">
      <alignment horizontal="center" vertical="center" wrapText="1"/>
    </xf>
    <xf numFmtId="10" fontId="1" fillId="0" borderId="63" xfId="0" applyNumberFormat="1" applyFont="1" applyBorder="1" applyAlignment="1">
      <alignment horizontal="center" vertical="center" wrapText="1"/>
    </xf>
    <xf numFmtId="10" fontId="1" fillId="0" borderId="27" xfId="0" applyNumberFormat="1" applyFont="1" applyBorder="1" applyAlignment="1">
      <alignment horizontal="center" vertical="center" wrapText="1"/>
    </xf>
    <xf numFmtId="10" fontId="1" fillId="0" borderId="26" xfId="0" applyNumberFormat="1" applyFont="1" applyBorder="1" applyAlignment="1">
      <alignment horizontal="center" vertical="center" wrapText="1"/>
    </xf>
    <xf numFmtId="10" fontId="1" fillId="0" borderId="42" xfId="0" applyNumberFormat="1" applyFont="1" applyBorder="1" applyAlignment="1">
      <alignment horizontal="center" vertical="center" wrapText="1"/>
    </xf>
    <xf numFmtId="0" fontId="5" fillId="0" borderId="35" xfId="0" applyFont="1" applyBorder="1" applyAlignment="1">
      <alignment horizontal="center" vertical="center" wrapText="1"/>
    </xf>
    <xf numFmtId="10" fontId="1" fillId="0" borderId="35" xfId="0" applyNumberFormat="1" applyFont="1" applyBorder="1" applyAlignment="1">
      <alignment horizontal="center" vertical="center" wrapText="1"/>
    </xf>
    <xf numFmtId="10" fontId="1" fillId="0" borderId="34" xfId="0" applyNumberFormat="1" applyFont="1" applyBorder="1" applyAlignment="1">
      <alignment horizontal="center" vertical="center" wrapText="1"/>
    </xf>
    <xf numFmtId="10" fontId="1" fillId="0" borderId="65" xfId="0" applyNumberFormat="1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3" fillId="4" borderId="57" xfId="0" applyFont="1" applyFill="1" applyBorder="1" applyAlignment="1">
      <alignment horizontal="center" vertical="center" wrapText="1"/>
    </xf>
    <xf numFmtId="0" fontId="5" fillId="0" borderId="66" xfId="0" applyFont="1" applyBorder="1" applyAlignment="1">
      <alignment horizontal="center" vertical="center" wrapText="1"/>
    </xf>
    <xf numFmtId="0" fontId="1" fillId="0" borderId="67" xfId="0" applyFont="1" applyBorder="1" applyAlignment="1">
      <alignment horizontal="center" vertical="center" wrapText="1"/>
    </xf>
    <xf numFmtId="0" fontId="1" fillId="0" borderId="68" xfId="0" applyFont="1" applyBorder="1" applyAlignment="1">
      <alignment horizontal="center" vertical="center" wrapText="1"/>
    </xf>
    <xf numFmtId="0" fontId="3" fillId="4" borderId="0" xfId="0" applyFont="1" applyFill="1" applyBorder="1" applyAlignment="1">
      <alignment horizontal="center" vertical="center" wrapText="1"/>
    </xf>
    <xf numFmtId="3" fontId="0" fillId="0" borderId="0" xfId="0" applyNumberFormat="1"/>
    <xf numFmtId="0" fontId="0" fillId="0" borderId="56" xfId="0" applyBorder="1"/>
    <xf numFmtId="0" fontId="20" fillId="0" borderId="0" xfId="0" applyFont="1"/>
    <xf numFmtId="0" fontId="12" fillId="0" borderId="56" xfId="0" applyFont="1" applyBorder="1"/>
    <xf numFmtId="0" fontId="0" fillId="3" borderId="56" xfId="0" applyFill="1" applyBorder="1"/>
    <xf numFmtId="0" fontId="21" fillId="0" borderId="0" xfId="0" applyFont="1"/>
    <xf numFmtId="0" fontId="5" fillId="0" borderId="56" xfId="0" applyFont="1" applyBorder="1" applyAlignment="1">
      <alignment horizontal="center" vertical="center" wrapText="1"/>
    </xf>
    <xf numFmtId="0" fontId="0" fillId="0" borderId="56" xfId="0" applyBorder="1" applyAlignment="1">
      <alignment vertical="center" wrapText="1"/>
    </xf>
    <xf numFmtId="0" fontId="22" fillId="6" borderId="7" xfId="0" applyFont="1" applyFill="1" applyBorder="1" applyAlignment="1">
      <alignment horizontal="center" vertical="center" wrapText="1"/>
    </xf>
    <xf numFmtId="0" fontId="22" fillId="6" borderId="9" xfId="0" applyFont="1" applyFill="1" applyBorder="1" applyAlignment="1">
      <alignment horizontal="center" vertical="center" wrapText="1"/>
    </xf>
    <xf numFmtId="0" fontId="22" fillId="6" borderId="17" xfId="0" applyFont="1" applyFill="1" applyBorder="1" applyAlignment="1">
      <alignment horizontal="center" vertical="center" wrapText="1"/>
    </xf>
    <xf numFmtId="3" fontId="24" fillId="0" borderId="22" xfId="0" applyNumberFormat="1" applyFont="1" applyBorder="1" applyAlignment="1">
      <alignment horizontal="right" vertical="center" wrapText="1"/>
    </xf>
    <xf numFmtId="3" fontId="24" fillId="0" borderId="23" xfId="0" applyNumberFormat="1" applyFont="1" applyBorder="1" applyAlignment="1">
      <alignment horizontal="right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0" fillId="0" borderId="8" xfId="0" applyBorder="1" applyAlignment="1">
      <alignment vertical="center" wrapText="1"/>
    </xf>
    <xf numFmtId="0" fontId="0" fillId="0" borderId="79" xfId="0" applyBorder="1" applyAlignment="1">
      <alignment vertical="center" wrapText="1"/>
    </xf>
    <xf numFmtId="3" fontId="24" fillId="0" borderId="27" xfId="0" applyNumberFormat="1" applyFont="1" applyBorder="1" applyAlignment="1">
      <alignment horizontal="right" vertical="center" wrapText="1"/>
    </xf>
    <xf numFmtId="3" fontId="24" fillId="0" borderId="28" xfId="0" applyNumberFormat="1" applyFont="1" applyBorder="1" applyAlignment="1">
      <alignment horizontal="right" vertical="center" wrapText="1"/>
    </xf>
    <xf numFmtId="0" fontId="23" fillId="0" borderId="79" xfId="0" applyFont="1" applyBorder="1" applyAlignment="1">
      <alignment horizontal="center" vertical="center" wrapText="1"/>
    </xf>
    <xf numFmtId="0" fontId="24" fillId="0" borderId="27" xfId="0" applyFont="1" applyBorder="1" applyAlignment="1">
      <alignment horizontal="right" vertical="center" wrapText="1"/>
    </xf>
    <xf numFmtId="0" fontId="23" fillId="0" borderId="27" xfId="0" applyFont="1" applyBorder="1" applyAlignment="1">
      <alignment horizontal="center" vertical="center" wrapText="1"/>
    </xf>
    <xf numFmtId="0" fontId="0" fillId="0" borderId="80" xfId="0" applyBorder="1" applyAlignment="1">
      <alignment vertical="center" wrapText="1"/>
    </xf>
    <xf numFmtId="0" fontId="24" fillId="0" borderId="28" xfId="0" applyFont="1" applyBorder="1" applyAlignment="1">
      <alignment horizontal="right" vertical="center" wrapText="1"/>
    </xf>
    <xf numFmtId="3" fontId="24" fillId="0" borderId="35" xfId="0" applyNumberFormat="1" applyFont="1" applyBorder="1" applyAlignment="1">
      <alignment horizontal="right" vertical="center" wrapText="1"/>
    </xf>
    <xf numFmtId="3" fontId="24" fillId="0" borderId="36" xfId="0" applyNumberFormat="1" applyFont="1" applyBorder="1" applyAlignment="1">
      <alignment horizontal="right" vertical="center" wrapText="1"/>
    </xf>
    <xf numFmtId="3" fontId="24" fillId="0" borderId="75" xfId="0" applyNumberFormat="1" applyFont="1" applyBorder="1" applyAlignment="1">
      <alignment horizontal="right" vertical="center" wrapText="1"/>
    </xf>
    <xf numFmtId="3" fontId="24" fillId="0" borderId="82" xfId="0" applyNumberFormat="1" applyFont="1" applyBorder="1" applyAlignment="1">
      <alignment horizontal="right" vertical="center" wrapText="1"/>
    </xf>
    <xf numFmtId="0" fontId="22" fillId="6" borderId="60" xfId="0" applyFont="1" applyFill="1" applyBorder="1" applyAlignment="1">
      <alignment horizontal="center" vertical="center" wrapText="1"/>
    </xf>
    <xf numFmtId="0" fontId="22" fillId="6" borderId="61" xfId="0" applyFont="1" applyFill="1" applyBorder="1" applyAlignment="1">
      <alignment horizontal="center" vertical="center" wrapText="1"/>
    </xf>
    <xf numFmtId="0" fontId="23" fillId="0" borderId="22" xfId="0" applyFont="1" applyBorder="1" applyAlignment="1">
      <alignment horizontal="center" vertical="center" wrapText="1"/>
    </xf>
    <xf numFmtId="3" fontId="1" fillId="0" borderId="22" xfId="0" applyNumberFormat="1" applyFont="1" applyBorder="1" applyAlignment="1">
      <alignment horizontal="center" vertical="center" wrapText="1"/>
    </xf>
    <xf numFmtId="3" fontId="1" fillId="0" borderId="23" xfId="0" applyNumberFormat="1" applyFont="1" applyBorder="1" applyAlignment="1">
      <alignment horizontal="center" vertical="center" wrapText="1"/>
    </xf>
    <xf numFmtId="0" fontId="23" fillId="0" borderId="35" xfId="0" applyFont="1" applyBorder="1" applyAlignment="1">
      <alignment horizontal="center" vertical="center" wrapText="1"/>
    </xf>
    <xf numFmtId="0" fontId="1" fillId="0" borderId="36" xfId="0" applyFont="1" applyBorder="1" applyAlignment="1">
      <alignment horizontal="center" vertical="center" wrapText="1"/>
    </xf>
    <xf numFmtId="0" fontId="23" fillId="0" borderId="84" xfId="0" applyFont="1" applyBorder="1" applyAlignment="1">
      <alignment horizontal="center" vertical="center" wrapText="1"/>
    </xf>
    <xf numFmtId="0" fontId="1" fillId="0" borderId="22" xfId="0" applyFont="1" applyBorder="1" applyAlignment="1">
      <alignment horizontal="right" vertical="center" wrapText="1"/>
    </xf>
    <xf numFmtId="0" fontId="1" fillId="0" borderId="23" xfId="0" applyFont="1" applyBorder="1" applyAlignment="1">
      <alignment horizontal="right" vertical="center" wrapText="1"/>
    </xf>
    <xf numFmtId="0" fontId="1" fillId="0" borderId="27" xfId="0" applyFont="1" applyBorder="1" applyAlignment="1">
      <alignment horizontal="right" vertical="center" wrapText="1"/>
    </xf>
    <xf numFmtId="0" fontId="1" fillId="0" borderId="28" xfId="0" applyFont="1" applyBorder="1" applyAlignment="1">
      <alignment horizontal="right" vertical="center" wrapText="1"/>
    </xf>
    <xf numFmtId="0" fontId="1" fillId="0" borderId="35" xfId="0" applyFont="1" applyBorder="1" applyAlignment="1">
      <alignment horizontal="right" vertical="center" wrapText="1"/>
    </xf>
    <xf numFmtId="0" fontId="1" fillId="0" borderId="36" xfId="0" applyFont="1" applyBorder="1" applyAlignment="1">
      <alignment horizontal="right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right" vertical="center" wrapText="1"/>
    </xf>
    <xf numFmtId="0" fontId="22" fillId="6" borderId="92" xfId="0" applyFont="1" applyFill="1" applyBorder="1" applyAlignment="1">
      <alignment vertical="center" wrapText="1"/>
    </xf>
    <xf numFmtId="0" fontId="22" fillId="6" borderId="93" xfId="0" applyFont="1" applyFill="1" applyBorder="1" applyAlignment="1">
      <alignment vertical="center" wrapText="1"/>
    </xf>
    <xf numFmtId="0" fontId="22" fillId="6" borderId="94" xfId="0" applyFont="1" applyFill="1" applyBorder="1" applyAlignment="1">
      <alignment vertical="center" wrapText="1"/>
    </xf>
    <xf numFmtId="0" fontId="1" fillId="0" borderId="97" xfId="0" applyFont="1" applyBorder="1" applyAlignment="1">
      <alignment vertical="center" wrapText="1"/>
    </xf>
    <xf numFmtId="0" fontId="1" fillId="0" borderId="99" xfId="0" applyFont="1" applyBorder="1" applyAlignment="1">
      <alignment vertical="center" wrapText="1"/>
    </xf>
    <xf numFmtId="0" fontId="0" fillId="0" borderId="100" xfId="0" applyBorder="1" applyAlignment="1">
      <alignment vertical="center" wrapText="1"/>
    </xf>
    <xf numFmtId="0" fontId="22" fillId="6" borderId="47" xfId="0" applyFont="1" applyFill="1" applyBorder="1" applyAlignment="1">
      <alignment horizontal="center" vertical="center" wrapText="1"/>
    </xf>
    <xf numFmtId="0" fontId="24" fillId="3" borderId="56" xfId="0" applyFont="1" applyFill="1" applyBorder="1" applyAlignment="1">
      <alignment horizontal="right" vertical="center" wrapText="1"/>
    </xf>
    <xf numFmtId="0" fontId="0" fillId="3" borderId="104" xfId="0" applyFill="1" applyBorder="1"/>
    <xf numFmtId="0" fontId="24" fillId="3" borderId="105" xfId="0" applyFont="1" applyFill="1" applyBorder="1" applyAlignment="1">
      <alignment horizontal="right" vertical="center" wrapText="1"/>
    </xf>
    <xf numFmtId="0" fontId="0" fillId="3" borderId="105" xfId="0" applyFill="1" applyBorder="1"/>
    <xf numFmtId="0" fontId="0" fillId="3" borderId="106" xfId="0" applyFill="1" applyBorder="1"/>
    <xf numFmtId="0" fontId="26" fillId="0" borderId="0" xfId="0" applyFont="1"/>
    <xf numFmtId="0" fontId="22" fillId="6" borderId="57" xfId="0" applyFont="1" applyFill="1" applyBorder="1" applyAlignment="1">
      <alignment horizontal="center" vertical="center" wrapText="1"/>
    </xf>
    <xf numFmtId="0" fontId="23" fillId="0" borderId="66" xfId="0" applyFont="1" applyBorder="1" applyAlignment="1">
      <alignment horizontal="center" vertical="center" wrapText="1"/>
    </xf>
    <xf numFmtId="0" fontId="27" fillId="0" borderId="0" xfId="0" applyFont="1"/>
    <xf numFmtId="0" fontId="28" fillId="0" borderId="0" xfId="0" applyFont="1"/>
    <xf numFmtId="0" fontId="0" fillId="8" borderId="0" xfId="0" applyFill="1"/>
    <xf numFmtId="0" fontId="12" fillId="8" borderId="56" xfId="0" applyFont="1" applyFill="1" applyBorder="1"/>
    <xf numFmtId="0" fontId="0" fillId="8" borderId="56" xfId="0" applyFill="1" applyBorder="1"/>
    <xf numFmtId="1" fontId="0" fillId="8" borderId="56" xfId="0" applyNumberFormat="1" applyFill="1" applyBorder="1"/>
    <xf numFmtId="0" fontId="0" fillId="0" borderId="0" xfId="0" applyAlignment="1">
      <alignment wrapText="1"/>
    </xf>
    <xf numFmtId="0" fontId="1" fillId="0" borderId="0" xfId="0" applyFont="1" applyAlignment="1">
      <alignment horizontal="justify" vertical="center"/>
    </xf>
    <xf numFmtId="0" fontId="32" fillId="0" borderId="0" xfId="0" applyFont="1" applyAlignment="1">
      <alignment horizontal="justify" vertical="center"/>
    </xf>
    <xf numFmtId="0" fontId="30" fillId="0" borderId="0" xfId="0" applyFont="1" applyFill="1" applyBorder="1" applyAlignment="1">
      <alignment horizontal="justify" vertical="center"/>
    </xf>
    <xf numFmtId="0" fontId="17" fillId="0" borderId="108" xfId="0" applyFont="1" applyBorder="1" applyAlignment="1">
      <alignment horizontal="center" vertical="center" wrapText="1"/>
    </xf>
    <xf numFmtId="0" fontId="17" fillId="0" borderId="28" xfId="0" applyFont="1" applyBorder="1" applyAlignment="1">
      <alignment horizontal="center" vertical="center" wrapText="1"/>
    </xf>
    <xf numFmtId="0" fontId="29" fillId="0" borderId="56" xfId="0" applyFont="1" applyBorder="1" applyAlignment="1">
      <alignment horizontal="center" vertical="center" wrapText="1"/>
    </xf>
    <xf numFmtId="3" fontId="16" fillId="0" borderId="56" xfId="0" applyNumberFormat="1" applyFont="1" applyBorder="1" applyAlignment="1">
      <alignment horizontal="center" vertical="center" wrapText="1"/>
    </xf>
    <xf numFmtId="3" fontId="17" fillId="0" borderId="56" xfId="0" applyNumberFormat="1" applyFont="1" applyBorder="1" applyAlignment="1">
      <alignment horizontal="center" vertical="center" wrapText="1"/>
    </xf>
    <xf numFmtId="0" fontId="17" fillId="0" borderId="56" xfId="0" applyFont="1" applyBorder="1" applyAlignment="1">
      <alignment horizontal="center" vertical="center" wrapText="1"/>
    </xf>
    <xf numFmtId="0" fontId="29" fillId="0" borderId="110" xfId="0" applyFont="1" applyBorder="1" applyAlignment="1">
      <alignment horizontal="center" vertical="center" wrapText="1"/>
    </xf>
    <xf numFmtId="0" fontId="29" fillId="0" borderId="61" xfId="0" applyFont="1" applyBorder="1" applyAlignment="1">
      <alignment horizontal="center" vertical="center" wrapText="1"/>
    </xf>
    <xf numFmtId="0" fontId="31" fillId="0" borderId="84" xfId="0" applyFont="1" applyBorder="1" applyAlignment="1">
      <alignment horizontal="center" vertical="center" wrapText="1"/>
    </xf>
    <xf numFmtId="0" fontId="17" fillId="0" borderId="79" xfId="0" applyFont="1" applyBorder="1" applyAlignment="1">
      <alignment horizontal="center" vertical="center" wrapText="1"/>
    </xf>
    <xf numFmtId="0" fontId="31" fillId="0" borderId="111" xfId="0" applyFont="1" applyBorder="1" applyAlignment="1">
      <alignment horizontal="center" vertical="center" wrapText="1"/>
    </xf>
    <xf numFmtId="0" fontId="17" fillId="0" borderId="112" xfId="0" applyFont="1" applyBorder="1" applyAlignment="1">
      <alignment horizontal="center" vertical="center" wrapText="1"/>
    </xf>
    <xf numFmtId="0" fontId="17" fillId="0" borderId="23" xfId="0" applyFont="1" applyBorder="1" applyAlignment="1">
      <alignment horizontal="center" vertical="center" wrapText="1"/>
    </xf>
    <xf numFmtId="0" fontId="31" fillId="0" borderId="113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7" fillId="0" borderId="80" xfId="0" applyFont="1" applyBorder="1" applyAlignment="1">
      <alignment horizontal="center" vertical="center" wrapText="1"/>
    </xf>
    <xf numFmtId="0" fontId="31" fillId="0" borderId="120" xfId="0" applyFont="1" applyBorder="1" applyAlignment="1">
      <alignment horizontal="center" vertical="center" wrapText="1"/>
    </xf>
    <xf numFmtId="0" fontId="17" fillId="0" borderId="107" xfId="0" applyFont="1" applyBorder="1" applyAlignment="1">
      <alignment horizontal="center" vertical="center" wrapText="1"/>
    </xf>
    <xf numFmtId="0" fontId="17" fillId="0" borderId="3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  <xf numFmtId="3" fontId="16" fillId="8" borderId="56" xfId="0" applyNumberFormat="1" applyFont="1" applyFill="1" applyBorder="1" applyAlignment="1">
      <alignment horizontal="center" vertical="center" wrapText="1"/>
    </xf>
    <xf numFmtId="0" fontId="16" fillId="8" borderId="56" xfId="0" applyFont="1" applyFill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36" fillId="0" borderId="0" xfId="0" applyFont="1"/>
    <xf numFmtId="0" fontId="36" fillId="0" borderId="0" xfId="0" applyFont="1" applyAlignment="1">
      <alignment vertical="center"/>
    </xf>
    <xf numFmtId="0" fontId="0" fillId="3" borderId="0" xfId="0" applyFill="1" applyAlignment="1">
      <alignment vertical="center"/>
    </xf>
    <xf numFmtId="0" fontId="0" fillId="8" borderId="0" xfId="0" applyFill="1" applyAlignment="1">
      <alignment vertical="center"/>
    </xf>
    <xf numFmtId="0" fontId="0" fillId="9" borderId="0" xfId="0" applyFill="1"/>
    <xf numFmtId="0" fontId="0" fillId="9" borderId="0" xfId="0" applyFill="1" applyAlignment="1">
      <alignment vertical="center"/>
    </xf>
    <xf numFmtId="0" fontId="0" fillId="9" borderId="56" xfId="0" applyFill="1" applyBorder="1"/>
    <xf numFmtId="0" fontId="12" fillId="9" borderId="56" xfId="0" applyFont="1" applyFill="1" applyBorder="1" applyAlignment="1">
      <alignment vertical="center"/>
    </xf>
    <xf numFmtId="0" fontId="5" fillId="9" borderId="56" xfId="0" applyFont="1" applyFill="1" applyBorder="1" applyAlignment="1">
      <alignment horizontal="center" vertical="center" wrapText="1"/>
    </xf>
    <xf numFmtId="0" fontId="37" fillId="0" borderId="0" xfId="0" applyFont="1" applyBorder="1" applyAlignment="1">
      <alignment horizontal="center" vertical="center" wrapText="1"/>
    </xf>
    <xf numFmtId="0" fontId="5" fillId="9" borderId="56" xfId="0" applyFont="1" applyFill="1" applyBorder="1" applyAlignment="1">
      <alignment vertical="center" wrapText="1"/>
    </xf>
    <xf numFmtId="0" fontId="5" fillId="8" borderId="56" xfId="0" applyFont="1" applyFill="1" applyBorder="1" applyAlignment="1">
      <alignment vertical="center" wrapText="1"/>
    </xf>
    <xf numFmtId="2" fontId="0" fillId="8" borderId="56" xfId="0" applyNumberFormat="1" applyFill="1" applyBorder="1"/>
    <xf numFmtId="176" fontId="0" fillId="8" borderId="56" xfId="0" applyNumberFormat="1" applyFill="1" applyBorder="1"/>
    <xf numFmtId="0" fontId="5" fillId="8" borderId="86" xfId="0" applyFont="1" applyFill="1" applyBorder="1" applyAlignment="1">
      <alignment vertical="center" wrapText="1"/>
    </xf>
    <xf numFmtId="0" fontId="5" fillId="8" borderId="86" xfId="0" applyFont="1" applyFill="1" applyBorder="1" applyAlignment="1">
      <alignment horizontal="center" vertical="center" wrapText="1"/>
    </xf>
    <xf numFmtId="0" fontId="12" fillId="8" borderId="125" xfId="0" applyFont="1" applyFill="1" applyBorder="1"/>
    <xf numFmtId="0" fontId="12" fillId="8" borderId="104" xfId="0" applyFont="1" applyFill="1" applyBorder="1"/>
    <xf numFmtId="2" fontId="0" fillId="8" borderId="125" xfId="0" applyNumberFormat="1" applyFill="1" applyBorder="1"/>
    <xf numFmtId="2" fontId="0" fillId="8" borderId="104" xfId="0" applyNumberFormat="1" applyFill="1" applyBorder="1"/>
    <xf numFmtId="2" fontId="0" fillId="8" borderId="126" xfId="0" applyNumberFormat="1" applyFill="1" applyBorder="1"/>
    <xf numFmtId="2" fontId="0" fillId="8" borderId="105" xfId="0" applyNumberFormat="1" applyFill="1" applyBorder="1"/>
    <xf numFmtId="2" fontId="0" fillId="8" borderId="106" xfId="0" applyNumberFormat="1" applyFill="1" applyBorder="1"/>
    <xf numFmtId="176" fontId="0" fillId="8" borderId="125" xfId="0" applyNumberFormat="1" applyFill="1" applyBorder="1"/>
    <xf numFmtId="176" fontId="0" fillId="8" borderId="104" xfId="0" applyNumberFormat="1" applyFill="1" applyBorder="1"/>
    <xf numFmtId="176" fontId="0" fillId="8" borderId="126" xfId="0" applyNumberFormat="1" applyFill="1" applyBorder="1"/>
    <xf numFmtId="176" fontId="0" fillId="8" borderId="105" xfId="0" applyNumberFormat="1" applyFill="1" applyBorder="1"/>
    <xf numFmtId="176" fontId="0" fillId="8" borderId="106" xfId="0" applyNumberFormat="1" applyFill="1" applyBorder="1"/>
    <xf numFmtId="0" fontId="0" fillId="8" borderId="56" xfId="0" applyFill="1" applyBorder="1" applyAlignment="1">
      <alignment horizontal="center" vertical="center"/>
    </xf>
    <xf numFmtId="0" fontId="0" fillId="8" borderId="56" xfId="0" applyFill="1" applyBorder="1" applyAlignment="1">
      <alignment vertical="center"/>
    </xf>
    <xf numFmtId="176" fontId="0" fillId="8" borderId="121" xfId="0" applyNumberFormat="1" applyFill="1" applyBorder="1"/>
    <xf numFmtId="0" fontId="38" fillId="7" borderId="0" xfId="0" applyFont="1" applyFill="1"/>
    <xf numFmtId="0" fontId="0" fillId="7" borderId="0" xfId="0" applyFill="1"/>
    <xf numFmtId="177" fontId="0" fillId="0" borderId="0" xfId="0" applyNumberFormat="1"/>
    <xf numFmtId="177" fontId="0" fillId="8" borderId="56" xfId="0" applyNumberFormat="1" applyFill="1" applyBorder="1" applyAlignment="1">
      <alignment vertical="center"/>
    </xf>
    <xf numFmtId="176" fontId="0" fillId="0" borderId="0" xfId="0" applyNumberFormat="1"/>
    <xf numFmtId="0" fontId="5" fillId="0" borderId="2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vertical="center" wrapText="1"/>
    </xf>
    <xf numFmtId="0" fontId="0" fillId="0" borderId="53" xfId="0" applyBorder="1" applyAlignment="1">
      <alignment vertical="center" wrapText="1"/>
    </xf>
    <xf numFmtId="0" fontId="5" fillId="0" borderId="45" xfId="0" applyFont="1" applyBorder="1" applyAlignment="1">
      <alignment horizontal="center" vertical="center" wrapText="1"/>
    </xf>
    <xf numFmtId="0" fontId="40" fillId="0" borderId="75" xfId="0" applyFont="1" applyBorder="1" applyAlignment="1">
      <alignment horizontal="center" vertical="center" wrapText="1"/>
    </xf>
    <xf numFmtId="0" fontId="39" fillId="0" borderId="45" xfId="0" applyFont="1" applyBorder="1" applyAlignment="1">
      <alignment horizontal="center" vertical="center" wrapText="1"/>
    </xf>
    <xf numFmtId="0" fontId="39" fillId="0" borderId="38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40" fillId="0" borderId="79" xfId="0" applyFont="1" applyBorder="1" applyAlignment="1">
      <alignment horizontal="center" vertical="center" wrapText="1"/>
    </xf>
    <xf numFmtId="0" fontId="39" fillId="0" borderId="12" xfId="0" applyFont="1" applyBorder="1" applyAlignment="1">
      <alignment horizontal="center" vertical="center" wrapText="1"/>
    </xf>
    <xf numFmtId="0" fontId="39" fillId="0" borderId="15" xfId="0" applyFont="1" applyBorder="1" applyAlignment="1">
      <alignment horizontal="center" vertical="center" wrapText="1"/>
    </xf>
    <xf numFmtId="0" fontId="5" fillId="0" borderId="53" xfId="0" applyFont="1" applyBorder="1" applyAlignment="1">
      <alignment horizontal="center" vertical="center" wrapText="1"/>
    </xf>
    <xf numFmtId="0" fontId="40" fillId="0" borderId="80" xfId="0" applyFont="1" applyBorder="1" applyAlignment="1">
      <alignment horizontal="center" vertical="center" wrapText="1"/>
    </xf>
    <xf numFmtId="0" fontId="39" fillId="0" borderId="53" xfId="0" applyFont="1" applyBorder="1" applyAlignment="1">
      <alignment horizontal="center" vertical="center" wrapText="1"/>
    </xf>
    <xf numFmtId="0" fontId="39" fillId="0" borderId="127" xfId="0" applyFont="1" applyBorder="1" applyAlignment="1">
      <alignment horizontal="center" vertical="center" wrapText="1"/>
    </xf>
    <xf numFmtId="0" fontId="5" fillId="0" borderId="128" xfId="0" applyFont="1" applyBorder="1" applyAlignment="1">
      <alignment horizontal="center" vertical="center" wrapText="1"/>
    </xf>
    <xf numFmtId="0" fontId="5" fillId="0" borderId="129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10" borderId="12" xfId="0" applyFont="1" applyFill="1" applyBorder="1" applyAlignment="1">
      <alignment horizontal="center" vertical="center" wrapText="1"/>
    </xf>
    <xf numFmtId="0" fontId="40" fillId="10" borderId="79" xfId="0" applyFont="1" applyFill="1" applyBorder="1" applyAlignment="1">
      <alignment horizontal="center" vertical="center" wrapText="1"/>
    </xf>
    <xf numFmtId="0" fontId="39" fillId="10" borderId="12" xfId="0" applyFont="1" applyFill="1" applyBorder="1" applyAlignment="1">
      <alignment horizontal="center" vertical="center" wrapText="1"/>
    </xf>
    <xf numFmtId="0" fontId="39" fillId="10" borderId="15" xfId="0" applyFont="1" applyFill="1" applyBorder="1" applyAlignment="1">
      <alignment horizontal="center" vertical="center" wrapText="1"/>
    </xf>
    <xf numFmtId="0" fontId="41" fillId="0" borderId="0" xfId="0" applyFont="1"/>
    <xf numFmtId="0" fontId="40" fillId="0" borderId="27" xfId="0" applyFont="1" applyBorder="1" applyAlignment="1">
      <alignment horizontal="center" vertical="center" wrapText="1"/>
    </xf>
    <xf numFmtId="0" fontId="40" fillId="0" borderId="40" xfId="0" applyFont="1" applyBorder="1" applyAlignment="1">
      <alignment horizontal="center" vertical="center" wrapText="1"/>
    </xf>
    <xf numFmtId="0" fontId="5" fillId="0" borderId="75" xfId="0" applyFont="1" applyBorder="1" applyAlignment="1">
      <alignment horizontal="center" vertical="center" wrapText="1"/>
    </xf>
    <xf numFmtId="0" fontId="40" fillId="0" borderId="35" xfId="0" applyFont="1" applyBorder="1" applyAlignment="1">
      <alignment horizontal="center" vertical="center" wrapText="1"/>
    </xf>
    <xf numFmtId="0" fontId="40" fillId="0" borderId="48" xfId="0" applyFont="1" applyBorder="1" applyAlignment="1">
      <alignment horizontal="center" vertical="center" wrapText="1"/>
    </xf>
    <xf numFmtId="0" fontId="5" fillId="10" borderId="26" xfId="0" applyFont="1" applyFill="1" applyBorder="1" applyAlignment="1">
      <alignment horizontal="center" vertical="center" wrapText="1"/>
    </xf>
    <xf numFmtId="0" fontId="40" fillId="10" borderId="27" xfId="0" applyFont="1" applyFill="1" applyBorder="1" applyAlignment="1">
      <alignment horizontal="center" vertical="center" wrapText="1"/>
    </xf>
    <xf numFmtId="0" fontId="40" fillId="10" borderId="40" xfId="0" applyFont="1" applyFill="1" applyBorder="1" applyAlignment="1">
      <alignment horizontal="center" vertical="center" wrapText="1"/>
    </xf>
    <xf numFmtId="0" fontId="0" fillId="10" borderId="0" xfId="0" applyFill="1"/>
    <xf numFmtId="0" fontId="12" fillId="10" borderId="56" xfId="0" applyFont="1" applyFill="1" applyBorder="1"/>
    <xf numFmtId="0" fontId="5" fillId="10" borderId="56" xfId="0" applyFont="1" applyFill="1" applyBorder="1" applyAlignment="1">
      <alignment vertical="center" wrapText="1"/>
    </xf>
    <xf numFmtId="0" fontId="5" fillId="10" borderId="86" xfId="0" applyFont="1" applyFill="1" applyBorder="1" applyAlignment="1">
      <alignment vertical="center" wrapText="1"/>
    </xf>
    <xf numFmtId="2" fontId="0" fillId="10" borderId="56" xfId="0" applyNumberFormat="1" applyFill="1" applyBorder="1"/>
    <xf numFmtId="2" fontId="0" fillId="10" borderId="125" xfId="0" applyNumberFormat="1" applyFill="1" applyBorder="1"/>
    <xf numFmtId="176" fontId="0" fillId="10" borderId="125" xfId="0" applyNumberFormat="1" applyFill="1" applyBorder="1"/>
    <xf numFmtId="176" fontId="0" fillId="10" borderId="56" xfId="0" applyNumberFormat="1" applyFill="1" applyBorder="1"/>
    <xf numFmtId="0" fontId="5" fillId="10" borderId="86" xfId="0" applyFont="1" applyFill="1" applyBorder="1" applyAlignment="1">
      <alignment horizontal="center" vertical="center" wrapText="1"/>
    </xf>
    <xf numFmtId="2" fontId="0" fillId="10" borderId="126" xfId="0" applyNumberFormat="1" applyFill="1" applyBorder="1"/>
    <xf numFmtId="2" fontId="0" fillId="10" borderId="105" xfId="0" applyNumberFormat="1" applyFill="1" applyBorder="1"/>
    <xf numFmtId="176" fontId="0" fillId="10" borderId="126" xfId="0" applyNumberFormat="1" applyFill="1" applyBorder="1"/>
    <xf numFmtId="176" fontId="0" fillId="10" borderId="105" xfId="0" applyNumberFormat="1" applyFill="1" applyBorder="1"/>
    <xf numFmtId="0" fontId="13" fillId="4" borderId="56" xfId="0" applyFont="1" applyFill="1" applyBorder="1" applyAlignment="1">
      <alignment horizontal="center" vertical="center" wrapText="1"/>
    </xf>
    <xf numFmtId="178" fontId="0" fillId="0" borderId="0" xfId="1" applyNumberFormat="1" applyFont="1" applyAlignment="1"/>
    <xf numFmtId="0" fontId="0" fillId="11" borderId="0" xfId="0" applyFill="1"/>
    <xf numFmtId="0" fontId="12" fillId="11" borderId="0" xfId="0" applyFont="1" applyFill="1"/>
    <xf numFmtId="0" fontId="12" fillId="11" borderId="121" xfId="0" applyFont="1" applyFill="1" applyBorder="1"/>
    <xf numFmtId="176" fontId="0" fillId="11" borderId="0" xfId="0" applyNumberFormat="1" applyFill="1"/>
    <xf numFmtId="0" fontId="5" fillId="7" borderId="0" xfId="0" applyFont="1" applyFill="1" applyBorder="1" applyAlignment="1">
      <alignment horizontal="center" vertical="center" wrapText="1"/>
    </xf>
    <xf numFmtId="0" fontId="1" fillId="7" borderId="0" xfId="0" applyFont="1" applyFill="1" applyBorder="1" applyAlignment="1">
      <alignment horizontal="center" vertical="center" wrapText="1"/>
    </xf>
    <xf numFmtId="3" fontId="1" fillId="7" borderId="0" xfId="0" applyNumberFormat="1" applyFont="1" applyFill="1" applyBorder="1" applyAlignment="1">
      <alignment horizontal="center" vertical="center" wrapText="1"/>
    </xf>
    <xf numFmtId="0" fontId="43" fillId="7" borderId="0" xfId="0" applyFont="1" applyFill="1" applyBorder="1" applyAlignment="1">
      <alignment horizontal="center" vertical="center" wrapText="1"/>
    </xf>
    <xf numFmtId="0" fontId="12" fillId="11" borderId="89" xfId="0" applyFont="1" applyFill="1" applyBorder="1"/>
    <xf numFmtId="0" fontId="12" fillId="11" borderId="90" xfId="0" applyFont="1" applyFill="1" applyBorder="1"/>
    <xf numFmtId="0" fontId="12" fillId="11" borderId="95" xfId="0" applyFont="1" applyFill="1" applyBorder="1"/>
    <xf numFmtId="0" fontId="12" fillId="11" borderId="131" xfId="0" applyFont="1" applyFill="1" applyBorder="1"/>
    <xf numFmtId="176" fontId="12" fillId="11" borderId="0" xfId="0" applyNumberFormat="1" applyFont="1" applyFill="1" applyBorder="1"/>
    <xf numFmtId="176" fontId="12" fillId="11" borderId="98" xfId="0" applyNumberFormat="1" applyFont="1" applyFill="1" applyBorder="1"/>
    <xf numFmtId="0" fontId="12" fillId="11" borderId="132" xfId="0" applyFont="1" applyFill="1" applyBorder="1"/>
    <xf numFmtId="9" fontId="12" fillId="11" borderId="0" xfId="0" applyNumberFormat="1" applyFont="1" applyFill="1"/>
    <xf numFmtId="0" fontId="13" fillId="4" borderId="56" xfId="0" applyFont="1" applyFill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3" fontId="1" fillId="0" borderId="0" xfId="0" applyNumberFormat="1" applyFont="1" applyFill="1" applyBorder="1" applyAlignment="1">
      <alignment horizontal="center" vertical="center" wrapText="1"/>
    </xf>
    <xf numFmtId="0" fontId="14" fillId="0" borderId="0" xfId="0" applyFont="1" applyFill="1" applyBorder="1" applyAlignment="1">
      <alignment horizontal="center" vertical="center" wrapText="1"/>
    </xf>
    <xf numFmtId="2" fontId="0" fillId="8" borderId="88" xfId="0" applyNumberFormat="1" applyFill="1" applyBorder="1"/>
    <xf numFmtId="176" fontId="0" fillId="8" borderId="88" xfId="0" applyNumberFormat="1" applyFill="1" applyBorder="1"/>
    <xf numFmtId="179" fontId="0" fillId="8" borderId="121" xfId="0" applyNumberFormat="1" applyFill="1" applyBorder="1"/>
    <xf numFmtId="0" fontId="0" fillId="11" borderId="56" xfId="0" applyFill="1" applyBorder="1"/>
    <xf numFmtId="0" fontId="12" fillId="11" borderId="56" xfId="0" applyFont="1" applyFill="1" applyBorder="1"/>
    <xf numFmtId="1" fontId="12" fillId="11" borderId="56" xfId="0" applyNumberFormat="1" applyFont="1" applyFill="1" applyBorder="1"/>
    <xf numFmtId="176" fontId="0" fillId="5" borderId="0" xfId="0" applyNumberFormat="1" applyFill="1"/>
    <xf numFmtId="1" fontId="0" fillId="0" borderId="0" xfId="0" applyNumberFormat="1"/>
    <xf numFmtId="0" fontId="23" fillId="0" borderId="8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vertical="center" wrapText="1"/>
    </xf>
    <xf numFmtId="0" fontId="23" fillId="0" borderId="41" xfId="0" applyFont="1" applyBorder="1" applyAlignment="1">
      <alignment vertical="center" wrapText="1"/>
    </xf>
    <xf numFmtId="0" fontId="23" fillId="0" borderId="8" xfId="0" applyFont="1" applyBorder="1" applyAlignment="1">
      <alignment vertical="center" wrapText="1"/>
    </xf>
    <xf numFmtId="0" fontId="23" fillId="0" borderId="79" xfId="0" applyFont="1" applyBorder="1" applyAlignment="1">
      <alignment vertical="center" wrapText="1"/>
    </xf>
    <xf numFmtId="0" fontId="23" fillId="0" borderId="101" xfId="0" applyFont="1" applyBorder="1" applyAlignment="1">
      <alignment vertical="center" wrapText="1"/>
    </xf>
    <xf numFmtId="0" fontId="23" fillId="0" borderId="102" xfId="0" applyFont="1" applyBorder="1" applyAlignment="1">
      <alignment vertical="center" wrapText="1"/>
    </xf>
    <xf numFmtId="0" fontId="0" fillId="5" borderId="56" xfId="0" applyFill="1" applyBorder="1"/>
    <xf numFmtId="0" fontId="12" fillId="5" borderId="56" xfId="0" applyFont="1" applyFill="1" applyBorder="1"/>
    <xf numFmtId="1" fontId="12" fillId="5" borderId="56" xfId="0" applyNumberFormat="1" applyFont="1" applyFill="1" applyBorder="1"/>
    <xf numFmtId="0" fontId="0" fillId="5" borderId="138" xfId="0" applyFill="1" applyBorder="1"/>
    <xf numFmtId="1" fontId="0" fillId="11" borderId="0" xfId="0" applyNumberFormat="1" applyFill="1"/>
    <xf numFmtId="1" fontId="0" fillId="5" borderId="0" xfId="0" applyNumberFormat="1" applyFill="1"/>
    <xf numFmtId="0" fontId="44" fillId="5" borderId="97" xfId="0" applyFont="1" applyFill="1" applyBorder="1" applyAlignment="1">
      <alignment vertical="center" wrapText="1"/>
    </xf>
    <xf numFmtId="0" fontId="45" fillId="7" borderId="0" xfId="0" applyFont="1" applyFill="1" applyBorder="1" applyAlignment="1">
      <alignment horizontal="center" vertical="center"/>
    </xf>
    <xf numFmtId="0" fontId="31" fillId="0" borderId="30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13" fillId="4" borderId="60" xfId="0" applyFont="1" applyFill="1" applyBorder="1" applyAlignment="1">
      <alignment horizontal="center" vertical="center" wrapText="1"/>
    </xf>
    <xf numFmtId="0" fontId="13" fillId="4" borderId="141" xfId="0" applyFont="1" applyFill="1" applyBorder="1" applyAlignment="1">
      <alignment horizontal="center" vertical="center" wrapText="1"/>
    </xf>
    <xf numFmtId="180" fontId="0" fillId="0" borderId="0" xfId="0" applyNumberFormat="1"/>
    <xf numFmtId="0" fontId="29" fillId="0" borderId="144" xfId="0" applyFont="1" applyBorder="1" applyAlignment="1">
      <alignment horizontal="center" vertical="center" wrapText="1"/>
    </xf>
    <xf numFmtId="0" fontId="29" fillId="0" borderId="17" xfId="0" applyFont="1" applyBorder="1" applyAlignment="1">
      <alignment horizontal="center" vertical="center" wrapText="1"/>
    </xf>
    <xf numFmtId="0" fontId="29" fillId="0" borderId="18" xfId="0" applyFont="1" applyBorder="1" applyAlignment="1">
      <alignment horizontal="center" vertical="center" wrapText="1"/>
    </xf>
    <xf numFmtId="4" fontId="17" fillId="0" borderId="112" xfId="0" applyNumberFormat="1" applyFont="1" applyBorder="1" applyAlignment="1">
      <alignment horizontal="center" vertical="center" wrapText="1"/>
    </xf>
    <xf numFmtId="0" fontId="17" fillId="0" borderId="22" xfId="0" applyFont="1" applyBorder="1" applyAlignment="1">
      <alignment horizontal="center" vertical="center" wrapText="1"/>
    </xf>
    <xf numFmtId="3" fontId="17" fillId="0" borderId="23" xfId="0" applyNumberFormat="1" applyFont="1" applyBorder="1" applyAlignment="1">
      <alignment horizontal="center" vertical="center" wrapText="1"/>
    </xf>
    <xf numFmtId="4" fontId="17" fillId="0" borderId="108" xfId="0" applyNumberFormat="1" applyFont="1" applyBorder="1" applyAlignment="1">
      <alignment horizontal="center" vertical="center" wrapText="1"/>
    </xf>
    <xf numFmtId="3" fontId="17" fillId="0" borderId="27" xfId="0" applyNumberFormat="1" applyFont="1" applyBorder="1" applyAlignment="1">
      <alignment horizontal="center" vertical="center" wrapText="1"/>
    </xf>
    <xf numFmtId="3" fontId="17" fillId="0" borderId="28" xfId="0" applyNumberFormat="1" applyFont="1" applyBorder="1" applyAlignment="1">
      <alignment horizontal="center" vertical="center" wrapText="1"/>
    </xf>
    <xf numFmtId="0" fontId="17" fillId="0" borderId="27" xfId="0" applyFont="1" applyBorder="1" applyAlignment="1">
      <alignment horizontal="center" vertical="center" wrapText="1"/>
    </xf>
    <xf numFmtId="0" fontId="16" fillId="4" borderId="107" xfId="0" applyFont="1" applyFill="1" applyBorder="1" applyAlignment="1">
      <alignment horizontal="center" vertical="center" wrapText="1"/>
    </xf>
    <xf numFmtId="3" fontId="16" fillId="4" borderId="35" xfId="0" applyNumberFormat="1" applyFont="1" applyFill="1" applyBorder="1" applyAlignment="1">
      <alignment horizontal="center" vertical="center" wrapText="1"/>
    </xf>
    <xf numFmtId="3" fontId="16" fillId="4" borderId="36" xfId="0" applyNumberFormat="1" applyFont="1" applyFill="1" applyBorder="1" applyAlignment="1">
      <alignment horizontal="center" vertical="center" wrapText="1"/>
    </xf>
    <xf numFmtId="0" fontId="0" fillId="0" borderId="30" xfId="0" applyBorder="1" applyAlignment="1">
      <alignment vertical="center" wrapText="1"/>
    </xf>
    <xf numFmtId="0" fontId="29" fillId="0" borderId="145" xfId="0" applyFont="1" applyBorder="1" applyAlignment="1">
      <alignment horizontal="center" vertical="center" wrapText="1"/>
    </xf>
    <xf numFmtId="3" fontId="17" fillId="0" borderId="108" xfId="0" applyNumberFormat="1" applyFont="1" applyBorder="1" applyAlignment="1">
      <alignment horizontal="center" vertical="center" wrapText="1"/>
    </xf>
    <xf numFmtId="0" fontId="46" fillId="0" borderId="0" xfId="0" applyFont="1"/>
    <xf numFmtId="3" fontId="0" fillId="9" borderId="56" xfId="0" applyNumberFormat="1" applyFill="1" applyBorder="1"/>
    <xf numFmtId="0" fontId="38" fillId="0" borderId="0" xfId="0" applyFont="1"/>
    <xf numFmtId="0" fontId="5" fillId="0" borderId="19" xfId="0" applyFont="1" applyBorder="1" applyAlignment="1">
      <alignment horizontal="center" vertical="center" wrapText="1"/>
    </xf>
    <xf numFmtId="9" fontId="0" fillId="0" borderId="0" xfId="0" applyNumberFormat="1"/>
    <xf numFmtId="9" fontId="1" fillId="0" borderId="22" xfId="0" applyNumberFormat="1" applyFont="1" applyBorder="1" applyAlignment="1">
      <alignment horizontal="center" vertical="center" wrapText="1"/>
    </xf>
    <xf numFmtId="10" fontId="1" fillId="0" borderId="23" xfId="0" applyNumberFormat="1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9" fontId="1" fillId="0" borderId="35" xfId="0" applyNumberFormat="1" applyFont="1" applyBorder="1" applyAlignment="1">
      <alignment horizontal="center" vertical="center" wrapText="1"/>
    </xf>
    <xf numFmtId="10" fontId="1" fillId="0" borderId="36" xfId="0" applyNumberFormat="1" applyFont="1" applyBorder="1" applyAlignment="1">
      <alignment horizontal="center" vertical="center" wrapText="1"/>
    </xf>
    <xf numFmtId="0" fontId="0" fillId="0" borderId="0" xfId="0" applyAlignment="1"/>
    <xf numFmtId="0" fontId="0" fillId="0" borderId="56" xfId="0" applyFill="1" applyBorder="1"/>
    <xf numFmtId="0" fontId="25" fillId="0" borderId="0" xfId="0" applyFont="1"/>
    <xf numFmtId="9" fontId="0" fillId="0" borderId="56" xfId="1" applyFont="1" applyBorder="1" applyAlignment="1"/>
    <xf numFmtId="9" fontId="0" fillId="11" borderId="56" xfId="1" applyFont="1" applyFill="1" applyBorder="1" applyAlignment="1"/>
    <xf numFmtId="9" fontId="12" fillId="11" borderId="56" xfId="1" applyFont="1" applyFill="1" applyBorder="1" applyAlignment="1"/>
    <xf numFmtId="10" fontId="12" fillId="0" borderId="0" xfId="1" applyNumberFormat="1" applyFont="1" applyAlignment="1"/>
    <xf numFmtId="0" fontId="0" fillId="0" borderId="56" xfId="1" applyNumberFormat="1" applyFont="1" applyBorder="1" applyAlignment="1"/>
    <xf numFmtId="0" fontId="0" fillId="11" borderId="56" xfId="1" applyNumberFormat="1" applyFont="1" applyFill="1" applyBorder="1" applyAlignment="1"/>
    <xf numFmtId="0" fontId="0" fillId="0" borderId="56" xfId="1" applyNumberFormat="1" applyFont="1" applyFill="1" applyBorder="1" applyAlignment="1"/>
    <xf numFmtId="9" fontId="0" fillId="0" borderId="56" xfId="1" applyFont="1" applyFill="1" applyBorder="1" applyAlignment="1"/>
    <xf numFmtId="9" fontId="47" fillId="11" borderId="56" xfId="1" applyFont="1" applyFill="1" applyBorder="1" applyAlignment="1"/>
    <xf numFmtId="0" fontId="12" fillId="3" borderId="56" xfId="0" applyFont="1" applyFill="1" applyBorder="1"/>
    <xf numFmtId="0" fontId="12" fillId="3" borderId="89" xfId="0" applyFont="1" applyFill="1" applyBorder="1"/>
    <xf numFmtId="0" fontId="12" fillId="3" borderId="90" xfId="0" applyFont="1" applyFill="1" applyBorder="1"/>
    <xf numFmtId="0" fontId="12" fillId="3" borderId="95" xfId="0" applyFont="1" applyFill="1" applyBorder="1"/>
    <xf numFmtId="0" fontId="12" fillId="3" borderId="131" xfId="0" applyFont="1" applyFill="1" applyBorder="1"/>
    <xf numFmtId="3" fontId="1" fillId="3" borderId="35" xfId="0" applyNumberFormat="1" applyFont="1" applyFill="1" applyBorder="1" applyAlignment="1">
      <alignment horizontal="center" vertical="center" wrapText="1"/>
    </xf>
    <xf numFmtId="3" fontId="1" fillId="3" borderId="36" xfId="0" applyNumberFormat="1" applyFont="1" applyFill="1" applyBorder="1" applyAlignment="1">
      <alignment horizontal="center" vertical="center" wrapText="1"/>
    </xf>
    <xf numFmtId="9" fontId="0" fillId="9" borderId="56" xfId="1" applyFont="1" applyFill="1" applyBorder="1" applyAlignment="1"/>
    <xf numFmtId="178" fontId="0" fillId="0" borderId="0" xfId="0" applyNumberFormat="1"/>
    <xf numFmtId="0" fontId="0" fillId="11" borderId="86" xfId="0" applyFill="1" applyBorder="1"/>
    <xf numFmtId="178" fontId="0" fillId="11" borderId="86" xfId="1" applyNumberFormat="1" applyFont="1" applyFill="1" applyBorder="1" applyAlignment="1"/>
    <xf numFmtId="0" fontId="12" fillId="11" borderId="122" xfId="0" applyFont="1" applyFill="1" applyBorder="1"/>
    <xf numFmtId="0" fontId="12" fillId="11" borderId="147" xfId="0" applyFont="1" applyFill="1" applyBorder="1"/>
    <xf numFmtId="0" fontId="12" fillId="11" borderId="125" xfId="0" applyFont="1" applyFill="1" applyBorder="1"/>
    <xf numFmtId="0" fontId="12" fillId="11" borderId="126" xfId="0" applyFont="1" applyFill="1" applyBorder="1"/>
    <xf numFmtId="0" fontId="0" fillId="3" borderId="86" xfId="0" applyFill="1" applyBorder="1"/>
    <xf numFmtId="0" fontId="12" fillId="3" borderId="122" xfId="0" applyFont="1" applyFill="1" applyBorder="1"/>
    <xf numFmtId="0" fontId="12" fillId="3" borderId="147" xfId="0" applyFont="1" applyFill="1" applyBorder="1"/>
    <xf numFmtId="178" fontId="0" fillId="3" borderId="86" xfId="1" applyNumberFormat="1" applyFont="1" applyFill="1" applyBorder="1" applyAlignment="1"/>
    <xf numFmtId="0" fontId="12" fillId="3" borderId="125" xfId="0" applyFont="1" applyFill="1" applyBorder="1"/>
    <xf numFmtId="0" fontId="12" fillId="3" borderId="126" xfId="0" applyFont="1" applyFill="1" applyBorder="1"/>
    <xf numFmtId="0" fontId="0" fillId="12" borderId="0" xfId="0" applyFill="1"/>
    <xf numFmtId="0" fontId="38" fillId="12" borderId="0" xfId="0" applyFont="1" applyFill="1"/>
    <xf numFmtId="0" fontId="41" fillId="12" borderId="0" xfId="0" applyFont="1" applyFill="1"/>
    <xf numFmtId="0" fontId="12" fillId="13" borderId="98" xfId="0" applyFont="1" applyFill="1" applyBorder="1"/>
    <xf numFmtId="0" fontId="12" fillId="13" borderId="148" xfId="0" applyFont="1" applyFill="1" applyBorder="1"/>
    <xf numFmtId="0" fontId="0" fillId="13" borderId="56" xfId="0" applyFill="1" applyBorder="1"/>
    <xf numFmtId="176" fontId="12" fillId="13" borderId="0" xfId="0" applyNumberFormat="1" applyFont="1" applyFill="1" applyBorder="1"/>
    <xf numFmtId="176" fontId="12" fillId="13" borderId="98" xfId="0" applyNumberFormat="1" applyFont="1" applyFill="1" applyBorder="1"/>
    <xf numFmtId="0" fontId="0" fillId="13" borderId="0" xfId="0" applyFill="1"/>
    <xf numFmtId="1" fontId="12" fillId="13" borderId="56" xfId="0" applyNumberFormat="1" applyFont="1" applyFill="1" applyBorder="1"/>
    <xf numFmtId="1" fontId="12" fillId="13" borderId="0" xfId="0" applyNumberFormat="1" applyFont="1" applyFill="1"/>
    <xf numFmtId="0" fontId="1" fillId="13" borderId="56" xfId="0" applyFont="1" applyFill="1" applyBorder="1" applyAlignment="1">
      <alignment horizontal="center" vertical="center" wrapText="1"/>
    </xf>
    <xf numFmtId="3" fontId="1" fillId="13" borderId="56" xfId="0" applyNumberFormat="1" applyFont="1" applyFill="1" applyBorder="1" applyAlignment="1">
      <alignment horizontal="center" vertical="center" wrapText="1"/>
    </xf>
    <xf numFmtId="0" fontId="14" fillId="13" borderId="56" xfId="0" applyFont="1" applyFill="1" applyBorder="1" applyAlignment="1">
      <alignment horizontal="center" vertical="center" wrapText="1"/>
    </xf>
    <xf numFmtId="3" fontId="14" fillId="13" borderId="56" xfId="0" applyNumberFormat="1" applyFont="1" applyFill="1" applyBorder="1" applyAlignment="1">
      <alignment horizontal="center" vertical="center" wrapText="1"/>
    </xf>
    <xf numFmtId="181" fontId="0" fillId="0" borderId="0" xfId="0" applyNumberFormat="1" applyAlignment="1">
      <alignment vertical="center"/>
    </xf>
    <xf numFmtId="182" fontId="0" fillId="0" borderId="0" xfId="0" applyNumberFormat="1" applyAlignment="1">
      <alignment vertical="center"/>
    </xf>
    <xf numFmtId="0" fontId="0" fillId="14" borderId="0" xfId="0" applyFill="1"/>
    <xf numFmtId="0" fontId="12" fillId="14" borderId="131" xfId="0" applyFont="1" applyFill="1" applyBorder="1"/>
    <xf numFmtId="176" fontId="12" fillId="14" borderId="0" xfId="0" applyNumberFormat="1" applyFont="1" applyFill="1" applyBorder="1"/>
    <xf numFmtId="176" fontId="12" fillId="14" borderId="98" xfId="0" applyNumberFormat="1" applyFont="1" applyFill="1" applyBorder="1"/>
    <xf numFmtId="0" fontId="12" fillId="14" borderId="132" xfId="0" applyFont="1" applyFill="1" applyBorder="1"/>
    <xf numFmtId="0" fontId="12" fillId="14" borderId="89" xfId="0" applyFont="1" applyFill="1" applyBorder="1"/>
    <xf numFmtId="0" fontId="12" fillId="14" borderId="90" xfId="0" applyFont="1" applyFill="1" applyBorder="1"/>
    <xf numFmtId="0" fontId="12" fillId="14" borderId="95" xfId="0" applyFont="1" applyFill="1" applyBorder="1"/>
    <xf numFmtId="0" fontId="0" fillId="14" borderId="56" xfId="0" applyFill="1" applyBorder="1"/>
    <xf numFmtId="0" fontId="12" fillId="14" borderId="56" xfId="0" applyFont="1" applyFill="1" applyBorder="1"/>
    <xf numFmtId="1" fontId="12" fillId="14" borderId="56" xfId="0" applyNumberFormat="1" applyFont="1" applyFill="1" applyBorder="1"/>
    <xf numFmtId="1" fontId="0" fillId="14" borderId="0" xfId="0" applyNumberFormat="1" applyFill="1"/>
    <xf numFmtId="0" fontId="12" fillId="14" borderId="138" xfId="0" applyFont="1" applyFill="1" applyBorder="1"/>
    <xf numFmtId="0" fontId="38" fillId="7" borderId="0" xfId="2" applyFont="1" applyFill="1">
      <alignment vertical="center"/>
    </xf>
    <xf numFmtId="0" fontId="48" fillId="7" borderId="0" xfId="2" applyFill="1">
      <alignment vertical="center"/>
    </xf>
    <xf numFmtId="0" fontId="48" fillId="0" borderId="0" xfId="2">
      <alignment vertical="center"/>
    </xf>
    <xf numFmtId="0" fontId="12" fillId="3" borderId="0" xfId="2" applyFont="1" applyFill="1">
      <alignment vertical="center"/>
    </xf>
    <xf numFmtId="0" fontId="48" fillId="0" borderId="0" xfId="2" applyAlignment="1">
      <alignment vertical="center" wrapText="1"/>
    </xf>
    <xf numFmtId="0" fontId="48" fillId="0" borderId="0" xfId="2" quotePrefix="1">
      <alignment vertical="center"/>
    </xf>
    <xf numFmtId="1" fontId="0" fillId="15" borderId="0" xfId="0" applyNumberFormat="1" applyFill="1"/>
    <xf numFmtId="0" fontId="0" fillId="15" borderId="0" xfId="0" applyFill="1"/>
    <xf numFmtId="0" fontId="12" fillId="0" borderId="0" xfId="0" applyFont="1" applyAlignment="1">
      <alignment vertical="center"/>
    </xf>
    <xf numFmtId="182" fontId="0" fillId="0" borderId="0" xfId="0" quotePrefix="1" applyNumberFormat="1" applyAlignment="1">
      <alignment vertical="center"/>
    </xf>
    <xf numFmtId="0" fontId="0" fillId="16" borderId="56" xfId="0" applyFill="1" applyBorder="1"/>
    <xf numFmtId="0" fontId="0" fillId="16" borderId="56" xfId="1" applyNumberFormat="1" applyFont="1" applyFill="1" applyBorder="1" applyAlignment="1"/>
    <xf numFmtId="9" fontId="0" fillId="16" borderId="56" xfId="1" applyFont="1" applyFill="1" applyBorder="1" applyAlignment="1"/>
    <xf numFmtId="0" fontId="12" fillId="10" borderId="133" xfId="0" applyFont="1" applyFill="1" applyBorder="1" applyAlignment="1">
      <alignment horizontal="center" vertical="center"/>
    </xf>
    <xf numFmtId="0" fontId="12" fillId="10" borderId="134" xfId="0" applyFont="1" applyFill="1" applyBorder="1" applyAlignment="1">
      <alignment horizontal="center" vertical="center"/>
    </xf>
    <xf numFmtId="0" fontId="12" fillId="10" borderId="136" xfId="0" applyFont="1" applyFill="1" applyBorder="1" applyAlignment="1">
      <alignment horizontal="center" vertical="center"/>
    </xf>
    <xf numFmtId="0" fontId="12" fillId="10" borderId="135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12" fillId="8" borderId="133" xfId="0" applyFont="1" applyFill="1" applyBorder="1" applyAlignment="1">
      <alignment horizontal="center" vertical="center"/>
    </xf>
    <xf numFmtId="0" fontId="12" fillId="8" borderId="134" xfId="0" applyFont="1" applyFill="1" applyBorder="1" applyAlignment="1">
      <alignment horizontal="center" vertical="center"/>
    </xf>
    <xf numFmtId="0" fontId="12" fillId="8" borderId="136" xfId="0" applyFont="1" applyFill="1" applyBorder="1" applyAlignment="1">
      <alignment horizontal="center" vertical="center"/>
    </xf>
    <xf numFmtId="0" fontId="12" fillId="10" borderId="137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29" fillId="0" borderId="1" xfId="0" applyFont="1" applyBorder="1" applyAlignment="1">
      <alignment horizontal="center" vertical="center" wrapText="1"/>
    </xf>
    <xf numFmtId="0" fontId="29" fillId="0" borderId="142" xfId="0" applyFont="1" applyBorder="1" applyAlignment="1">
      <alignment horizontal="center" vertical="center" wrapText="1"/>
    </xf>
    <xf numFmtId="0" fontId="29" fillId="0" borderId="5" xfId="0" applyFont="1" applyBorder="1" applyAlignment="1">
      <alignment horizontal="center" vertical="center" wrapText="1"/>
    </xf>
    <xf numFmtId="0" fontId="29" fillId="0" borderId="143" xfId="0" applyFont="1" applyBorder="1" applyAlignment="1">
      <alignment horizontal="center" vertical="center" wrapText="1"/>
    </xf>
    <xf numFmtId="0" fontId="16" fillId="0" borderId="37" xfId="0" applyFont="1" applyBorder="1" applyAlignment="1">
      <alignment horizontal="center" vertical="center" wrapText="1"/>
    </xf>
    <xf numFmtId="0" fontId="16" fillId="0" borderId="38" xfId="0" applyFont="1" applyBorder="1" applyAlignment="1">
      <alignment horizontal="center" vertical="center" wrapText="1"/>
    </xf>
    <xf numFmtId="0" fontId="16" fillId="0" borderId="39" xfId="0" applyFont="1" applyBorder="1" applyAlignment="1">
      <alignment horizontal="center" vertical="center" wrapText="1"/>
    </xf>
    <xf numFmtId="0" fontId="16" fillId="4" borderId="33" xfId="0" applyFont="1" applyFill="1" applyBorder="1" applyAlignment="1">
      <alignment horizontal="center" vertical="center" wrapText="1"/>
    </xf>
    <xf numFmtId="0" fontId="16" fillId="4" borderId="146" xfId="0" applyFont="1" applyFill="1" applyBorder="1" applyAlignment="1">
      <alignment horizontal="center" vertical="center" wrapText="1"/>
    </xf>
    <xf numFmtId="0" fontId="29" fillId="0" borderId="144" xfId="0" applyFont="1" applyBorder="1" applyAlignment="1">
      <alignment horizontal="center" vertical="center" wrapText="1"/>
    </xf>
    <xf numFmtId="0" fontId="29" fillId="0" borderId="145" xfId="0" applyFont="1" applyBorder="1" applyAlignment="1">
      <alignment horizontal="center" vertical="center" wrapText="1"/>
    </xf>
    <xf numFmtId="0" fontId="29" fillId="4" borderId="33" xfId="0" applyFont="1" applyFill="1" applyBorder="1" applyAlignment="1">
      <alignment horizontal="center" vertical="center" wrapText="1"/>
    </xf>
    <xf numFmtId="0" fontId="29" fillId="4" borderId="146" xfId="0" applyFont="1" applyFill="1" applyBorder="1" applyAlignment="1">
      <alignment horizontal="center" vertical="center" wrapText="1"/>
    </xf>
    <xf numFmtId="0" fontId="17" fillId="0" borderId="118" xfId="0" applyFont="1" applyBorder="1" applyAlignment="1">
      <alignment horizontal="center" vertical="center" wrapText="1"/>
    </xf>
    <xf numFmtId="0" fontId="17" fillId="0" borderId="119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31" fillId="0" borderId="79" xfId="0" applyFont="1" applyBorder="1" applyAlignment="1">
      <alignment horizontal="center" vertical="center" wrapText="1"/>
    </xf>
    <xf numFmtId="0" fontId="31" fillId="0" borderId="29" xfId="0" applyFont="1" applyBorder="1" applyAlignment="1">
      <alignment horizontal="center" vertical="center" wrapText="1"/>
    </xf>
    <xf numFmtId="0" fontId="31" fillId="0" borderId="30" xfId="0" applyFont="1" applyBorder="1" applyAlignment="1">
      <alignment horizontal="center" vertical="center" wrapText="1"/>
    </xf>
    <xf numFmtId="0" fontId="31" fillId="0" borderId="64" xfId="0" applyFont="1" applyBorder="1" applyAlignment="1">
      <alignment horizontal="center" vertical="center" wrapText="1"/>
    </xf>
    <xf numFmtId="0" fontId="31" fillId="0" borderId="114" xfId="0" applyFont="1" applyBorder="1" applyAlignment="1">
      <alignment horizontal="center" vertical="center" wrapText="1"/>
    </xf>
    <xf numFmtId="0" fontId="31" fillId="0" borderId="115" xfId="0" applyFont="1" applyBorder="1" applyAlignment="1">
      <alignment horizontal="center" vertical="center" wrapText="1"/>
    </xf>
    <xf numFmtId="0" fontId="17" fillId="0" borderId="116" xfId="0" applyFont="1" applyBorder="1" applyAlignment="1">
      <alignment horizontal="center" vertical="center" wrapText="1"/>
    </xf>
    <xf numFmtId="0" fontId="17" fillId="0" borderId="117" xfId="0" applyFont="1" applyBorder="1" applyAlignment="1">
      <alignment horizontal="center" vertical="center" wrapText="1"/>
    </xf>
    <xf numFmtId="0" fontId="29" fillId="0" borderId="58" xfId="0" applyFont="1" applyBorder="1" applyAlignment="1">
      <alignment horizontal="center" vertical="center" wrapText="1"/>
    </xf>
    <xf numFmtId="0" fontId="29" fillId="0" borderId="83" xfId="0" applyFont="1" applyBorder="1" applyAlignment="1">
      <alignment horizontal="center" vertical="center" wrapText="1"/>
    </xf>
    <xf numFmtId="0" fontId="29" fillId="0" borderId="109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31" fillId="0" borderId="31" xfId="0" applyFont="1" applyBorder="1" applyAlignment="1">
      <alignment horizontal="center" vertical="center" wrapText="1"/>
    </xf>
    <xf numFmtId="0" fontId="12" fillId="5" borderId="139" xfId="0" applyFont="1" applyFill="1" applyBorder="1" applyAlignment="1">
      <alignment horizontal="center"/>
    </xf>
    <xf numFmtId="0" fontId="12" fillId="5" borderId="140" xfId="0" applyFont="1" applyFill="1" applyBorder="1" applyAlignment="1">
      <alignment horizontal="center"/>
    </xf>
    <xf numFmtId="0" fontId="22" fillId="6" borderId="37" xfId="0" applyFont="1" applyFill="1" applyBorder="1" applyAlignment="1">
      <alignment horizontal="center" vertical="center" wrapText="1"/>
    </xf>
    <xf numFmtId="0" fontId="22" fillId="6" borderId="38" xfId="0" applyFont="1" applyFill="1" applyBorder="1" applyAlignment="1">
      <alignment horizontal="center" vertical="center" wrapText="1"/>
    </xf>
    <xf numFmtId="0" fontId="22" fillId="6" borderId="45" xfId="0" applyFont="1" applyFill="1" applyBorder="1" applyAlignment="1">
      <alignment horizontal="center" vertical="center" wrapText="1"/>
    </xf>
    <xf numFmtId="0" fontId="22" fillId="6" borderId="76" xfId="0" applyFont="1" applyFill="1" applyBorder="1" applyAlignment="1">
      <alignment horizontal="center" vertical="center" wrapText="1"/>
    </xf>
    <xf numFmtId="0" fontId="22" fillId="6" borderId="77" xfId="0" applyFont="1" applyFill="1" applyBorder="1" applyAlignment="1">
      <alignment horizontal="center" vertical="center" wrapText="1"/>
    </xf>
    <xf numFmtId="0" fontId="22" fillId="6" borderId="89" xfId="0" applyFont="1" applyFill="1" applyBorder="1" applyAlignment="1">
      <alignment horizontal="center" vertical="center" wrapText="1"/>
    </xf>
    <xf numFmtId="0" fontId="22" fillId="6" borderId="90" xfId="0" applyFont="1" applyFill="1" applyBorder="1" applyAlignment="1">
      <alignment horizontal="center" vertical="center" wrapText="1"/>
    </xf>
    <xf numFmtId="0" fontId="22" fillId="6" borderId="91" xfId="0" applyFont="1" applyFill="1" applyBorder="1" applyAlignment="1">
      <alignment horizontal="center" vertical="center" wrapText="1"/>
    </xf>
    <xf numFmtId="0" fontId="22" fillId="6" borderId="96" xfId="0" applyFont="1" applyFill="1" applyBorder="1" applyAlignment="1">
      <alignment horizontal="center" vertical="center" wrapText="1"/>
    </xf>
    <xf numFmtId="0" fontId="22" fillId="6" borderId="51" xfId="0" applyFont="1" applyFill="1" applyBorder="1" applyAlignment="1">
      <alignment horizontal="center" vertical="center" wrapText="1"/>
    </xf>
    <xf numFmtId="0" fontId="22" fillId="6" borderId="6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horizontal="center" vertical="center" wrapText="1"/>
    </xf>
    <xf numFmtId="0" fontId="23" fillId="0" borderId="41" xfId="0" applyFont="1" applyBorder="1" applyAlignment="1">
      <alignment horizontal="center" vertical="center" wrapText="1"/>
    </xf>
    <xf numFmtId="0" fontId="23" fillId="0" borderId="101" xfId="0" applyFont="1" applyBorder="1" applyAlignment="1">
      <alignment horizontal="center" vertical="center" wrapText="1"/>
    </xf>
    <xf numFmtId="0" fontId="23" fillId="0" borderId="102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3" fillId="0" borderId="26" xfId="0" applyFont="1" applyBorder="1" applyAlignment="1">
      <alignment horizontal="center" vertical="center" wrapText="1"/>
    </xf>
    <xf numFmtId="0" fontId="23" fillId="0" borderId="54" xfId="0" applyFont="1" applyBorder="1" applyAlignment="1">
      <alignment horizontal="center" vertical="center" wrapText="1"/>
    </xf>
    <xf numFmtId="0" fontId="23" fillId="0" borderId="46" xfId="0" applyFont="1" applyBorder="1" applyAlignment="1">
      <alignment horizontal="center" vertical="center" wrapText="1"/>
    </xf>
    <xf numFmtId="0" fontId="23" fillId="0" borderId="85" xfId="0" applyFont="1" applyBorder="1" applyAlignment="1">
      <alignment horizontal="center" vertical="center" wrapText="1"/>
    </xf>
    <xf numFmtId="0" fontId="23" fillId="0" borderId="53" xfId="0" applyFont="1" applyBorder="1" applyAlignment="1">
      <alignment horizontal="center" vertical="center" wrapText="1"/>
    </xf>
    <xf numFmtId="0" fontId="23" fillId="0" borderId="48" xfId="0" applyFont="1" applyBorder="1" applyAlignment="1">
      <alignment horizontal="center" vertical="center" wrapText="1"/>
    </xf>
    <xf numFmtId="0" fontId="23" fillId="0" borderId="34" xfId="0" applyFont="1" applyBorder="1" applyAlignment="1">
      <alignment horizontal="center" vertical="center" wrapText="1"/>
    </xf>
    <xf numFmtId="0" fontId="22" fillId="6" borderId="58" xfId="0" applyFont="1" applyFill="1" applyBorder="1" applyAlignment="1">
      <alignment horizontal="center" vertical="center" wrapText="1"/>
    </xf>
    <xf numFmtId="0" fontId="22" fillId="6" borderId="83" xfId="0" applyFont="1" applyFill="1" applyBorder="1" applyAlignment="1">
      <alignment horizontal="center" vertical="center" wrapText="1"/>
    </xf>
    <xf numFmtId="0" fontId="22" fillId="6" borderId="59" xfId="0" applyFont="1" applyFill="1" applyBorder="1" applyAlignment="1">
      <alignment horizontal="center" vertical="center" wrapText="1"/>
    </xf>
    <xf numFmtId="0" fontId="23" fillId="0" borderId="81" xfId="0" applyFont="1" applyBorder="1" applyAlignment="1">
      <alignment horizontal="center" vertical="center" wrapText="1"/>
    </xf>
    <xf numFmtId="0" fontId="1" fillId="0" borderId="62" xfId="0" applyFont="1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 wrapText="1"/>
    </xf>
    <xf numFmtId="0" fontId="1" fillId="0" borderId="43" xfId="0" applyFont="1" applyBorder="1" applyAlignment="1">
      <alignment horizontal="center" vertical="center" wrapText="1"/>
    </xf>
    <xf numFmtId="0" fontId="1" fillId="0" borderId="64" xfId="0" applyFont="1" applyBorder="1" applyAlignment="1">
      <alignment horizontal="center" vertical="center" wrapText="1"/>
    </xf>
    <xf numFmtId="0" fontId="23" fillId="0" borderId="37" xfId="0" applyFont="1" applyBorder="1" applyAlignment="1">
      <alignment horizontal="center" vertical="center" wrapText="1"/>
    </xf>
    <xf numFmtId="0" fontId="23" fillId="0" borderId="38" xfId="0" applyFont="1" applyBorder="1" applyAlignment="1">
      <alignment horizontal="center" vertical="center" wrapText="1"/>
    </xf>
    <xf numFmtId="0" fontId="23" fillId="0" borderId="45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11" xfId="0" applyFont="1" applyBorder="1" applyAlignment="1">
      <alignment horizontal="center" vertical="center" wrapText="1"/>
    </xf>
    <xf numFmtId="0" fontId="23" fillId="0" borderId="12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23" fillId="0" borderId="86" xfId="0" applyFont="1" applyBorder="1" applyAlignment="1">
      <alignment horizontal="center" vertical="center" wrapText="1"/>
    </xf>
    <xf numFmtId="0" fontId="23" fillId="0" borderId="87" xfId="0" applyFont="1" applyBorder="1" applyAlignment="1">
      <alignment horizontal="center" vertical="center" wrapText="1"/>
    </xf>
    <xf numFmtId="0" fontId="23" fillId="0" borderId="88" xfId="0" applyFont="1" applyBorder="1" applyAlignment="1">
      <alignment horizontal="center" vertical="center" wrapText="1"/>
    </xf>
    <xf numFmtId="0" fontId="22" fillId="6" borderId="1" xfId="0" applyFont="1" applyFill="1" applyBorder="1" applyAlignment="1">
      <alignment horizontal="center" vertical="center" wrapText="1"/>
    </xf>
    <xf numFmtId="0" fontId="22" fillId="6" borderId="13" xfId="0" applyFont="1" applyFill="1" applyBorder="1" applyAlignment="1">
      <alignment horizontal="center" vertical="center" wrapText="1"/>
    </xf>
    <xf numFmtId="0" fontId="22" fillId="6" borderId="2" xfId="0" applyFont="1" applyFill="1" applyBorder="1" applyAlignment="1">
      <alignment horizontal="center" vertical="center" wrapText="1"/>
    </xf>
    <xf numFmtId="0" fontId="22" fillId="6" borderId="5" xfId="0" applyFont="1" applyFill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23" fillId="0" borderId="50" xfId="0" applyFont="1" applyBorder="1" applyAlignment="1">
      <alignment horizontal="center" vertical="center" wrapText="1"/>
    </xf>
    <xf numFmtId="0" fontId="23" fillId="0" borderId="78" xfId="0" applyFont="1" applyBorder="1" applyAlignment="1">
      <alignment horizontal="center" vertical="center" wrapText="1"/>
    </xf>
    <xf numFmtId="0" fontId="23" fillId="0" borderId="21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13" fillId="4" borderId="86" xfId="0" applyFont="1" applyFill="1" applyBorder="1" applyAlignment="1">
      <alignment horizontal="center" vertical="center" wrapText="1"/>
    </xf>
    <xf numFmtId="0" fontId="13" fillId="4" borderId="88" xfId="0" applyFont="1" applyFill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14" fillId="0" borderId="46" xfId="0" applyFont="1" applyBorder="1" applyAlignment="1">
      <alignment horizontal="center" vertical="center" wrapText="1"/>
    </xf>
    <xf numFmtId="0" fontId="14" fillId="0" borderId="12" xfId="0" applyFont="1" applyBorder="1" applyAlignment="1">
      <alignment horizontal="center" vertical="center" wrapText="1"/>
    </xf>
    <xf numFmtId="0" fontId="14" fillId="0" borderId="53" xfId="0" applyFont="1" applyBorder="1" applyAlignment="1">
      <alignment horizontal="center" vertical="center" wrapText="1"/>
    </xf>
    <xf numFmtId="0" fontId="12" fillId="8" borderId="122" xfId="0" applyFont="1" applyFill="1" applyBorder="1" applyAlignment="1">
      <alignment horizontal="center" vertical="center"/>
    </xf>
    <xf numFmtId="0" fontId="12" fillId="8" borderId="123" xfId="0" applyFont="1" applyFill="1" applyBorder="1" applyAlignment="1">
      <alignment horizontal="center" vertical="center"/>
    </xf>
    <xf numFmtId="0" fontId="12" fillId="8" borderId="124" xfId="0" applyFont="1" applyFill="1" applyBorder="1" applyAlignment="1">
      <alignment horizontal="center" vertical="center"/>
    </xf>
    <xf numFmtId="0" fontId="12" fillId="10" borderId="123" xfId="0" applyFont="1" applyFill="1" applyBorder="1" applyAlignment="1">
      <alignment horizontal="center" vertical="center"/>
    </xf>
    <xf numFmtId="0" fontId="12" fillId="10" borderId="122" xfId="0" applyFont="1" applyFill="1" applyBorder="1" applyAlignment="1">
      <alignment horizontal="center" vertical="center"/>
    </xf>
    <xf numFmtId="0" fontId="13" fillId="4" borderId="13" xfId="0" applyFont="1" applyFill="1" applyBorder="1" applyAlignment="1">
      <alignment horizontal="center" vertical="center" wrapText="1"/>
    </xf>
    <xf numFmtId="0" fontId="13" fillId="4" borderId="2" xfId="0" applyFont="1" applyFill="1" applyBorder="1" applyAlignment="1">
      <alignment horizontal="center" vertical="center" wrapText="1"/>
    </xf>
    <xf numFmtId="0" fontId="13" fillId="4" borderId="51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37" xfId="0" applyFont="1" applyFill="1" applyBorder="1" applyAlignment="1">
      <alignment horizontal="center" vertical="center" wrapText="1"/>
    </xf>
    <xf numFmtId="0" fontId="13" fillId="4" borderId="38" xfId="0" applyFont="1" applyFill="1" applyBorder="1" applyAlignment="1">
      <alignment horizontal="center" vertical="center" wrapText="1"/>
    </xf>
    <xf numFmtId="0" fontId="14" fillId="0" borderId="52" xfId="0" applyFont="1" applyBorder="1" applyAlignment="1">
      <alignment horizontal="center" vertical="center" wrapText="1"/>
    </xf>
    <xf numFmtId="0" fontId="13" fillId="4" borderId="40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1" fillId="0" borderId="52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4" fillId="0" borderId="84" xfId="0" applyFont="1" applyBorder="1" applyAlignment="1">
      <alignment horizontal="center" vertical="center" wrapText="1"/>
    </xf>
    <xf numFmtId="0" fontId="14" fillId="0" borderId="8" xfId="0" applyFont="1" applyBorder="1" applyAlignment="1">
      <alignment horizontal="center" vertical="center" wrapText="1"/>
    </xf>
    <xf numFmtId="0" fontId="14" fillId="0" borderId="79" xfId="0" applyFont="1" applyBorder="1" applyAlignment="1">
      <alignment horizontal="center" vertical="center" wrapText="1"/>
    </xf>
    <xf numFmtId="0" fontId="14" fillId="0" borderId="47" xfId="0" applyFont="1" applyBorder="1" applyAlignment="1">
      <alignment horizontal="center" vertical="center" wrapText="1"/>
    </xf>
    <xf numFmtId="0" fontId="1" fillId="0" borderId="53" xfId="0" applyFont="1" applyBorder="1" applyAlignment="1">
      <alignment horizontal="center" vertical="center" wrapText="1"/>
    </xf>
    <xf numFmtId="0" fontId="14" fillId="0" borderId="80" xfId="0" applyFont="1" applyBorder="1" applyAlignment="1">
      <alignment horizontal="center" vertical="center" wrapText="1"/>
    </xf>
    <xf numFmtId="0" fontId="13" fillId="2" borderId="40" xfId="0" applyFont="1" applyFill="1" applyBorder="1" applyAlignment="1">
      <alignment horizontal="center" vertical="center" wrapText="1"/>
    </xf>
    <xf numFmtId="0" fontId="13" fillId="2" borderId="41" xfId="0" applyFont="1" applyFill="1" applyBorder="1" applyAlignment="1">
      <alignment horizontal="center" vertical="center" wrapText="1"/>
    </xf>
    <xf numFmtId="0" fontId="13" fillId="2" borderId="26" xfId="0" applyFont="1" applyFill="1" applyBorder="1" applyAlignment="1">
      <alignment horizontal="center" vertical="center" wrapText="1"/>
    </xf>
    <xf numFmtId="0" fontId="13" fillId="2" borderId="54" xfId="0" applyFont="1" applyFill="1" applyBorder="1" applyAlignment="1">
      <alignment horizontal="center" vertical="center" wrapText="1"/>
    </xf>
    <xf numFmtId="0" fontId="13" fillId="2" borderId="55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 wrapText="1"/>
    </xf>
    <xf numFmtId="0" fontId="13" fillId="2" borderId="15" xfId="0" applyFont="1" applyFill="1" applyBorder="1" applyAlignment="1">
      <alignment horizontal="center" vertical="center" wrapText="1"/>
    </xf>
    <xf numFmtId="0" fontId="13" fillId="4" borderId="83" xfId="0" applyFont="1" applyFill="1" applyBorder="1" applyAlignment="1">
      <alignment horizontal="center" vertical="center" wrapText="1"/>
    </xf>
    <xf numFmtId="0" fontId="13" fillId="4" borderId="59" xfId="0" applyFont="1" applyFill="1" applyBorder="1" applyAlignment="1">
      <alignment horizontal="center" vertical="center" wrapText="1"/>
    </xf>
    <xf numFmtId="0" fontId="13" fillId="2" borderId="37" xfId="0" applyFont="1" applyFill="1" applyBorder="1" applyAlignment="1">
      <alignment horizontal="center" vertical="center" wrapText="1"/>
    </xf>
    <xf numFmtId="0" fontId="13" fillId="2" borderId="45" xfId="0" applyFont="1" applyFill="1" applyBorder="1" applyAlignment="1">
      <alignment horizontal="center" vertical="center" wrapText="1"/>
    </xf>
    <xf numFmtId="0" fontId="13" fillId="2" borderId="38" xfId="0" applyFont="1" applyFill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3" fillId="0" borderId="56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3" fillId="2" borderId="56" xfId="0" applyFont="1" applyFill="1" applyBorder="1" applyAlignment="1">
      <alignment horizontal="center" vertical="center" wrapText="1"/>
    </xf>
    <xf numFmtId="0" fontId="0" fillId="0" borderId="69" xfId="0" applyBorder="1" applyAlignment="1">
      <alignment horizontal="center" wrapText="1"/>
    </xf>
    <xf numFmtId="0" fontId="0" fillId="0" borderId="70" xfId="0" applyBorder="1" applyAlignment="1">
      <alignment horizontal="center"/>
    </xf>
    <xf numFmtId="0" fontId="0" fillId="0" borderId="71" xfId="0" applyBorder="1" applyAlignment="1">
      <alignment horizontal="center"/>
    </xf>
    <xf numFmtId="0" fontId="0" fillId="0" borderId="72" xfId="0" applyBorder="1" applyAlignment="1">
      <alignment horizontal="center"/>
    </xf>
    <xf numFmtId="0" fontId="0" fillId="0" borderId="73" xfId="0" applyBorder="1" applyAlignment="1">
      <alignment horizontal="center"/>
    </xf>
    <xf numFmtId="0" fontId="0" fillId="0" borderId="74" xfId="0" applyBorder="1" applyAlignment="1">
      <alignment horizontal="center"/>
    </xf>
    <xf numFmtId="0" fontId="5" fillId="2" borderId="37" xfId="0" applyFont="1" applyFill="1" applyBorder="1" applyAlignment="1">
      <alignment horizontal="center" vertical="center" wrapText="1"/>
    </xf>
    <xf numFmtId="0" fontId="5" fillId="2" borderId="38" xfId="0" applyFont="1" applyFill="1" applyBorder="1" applyAlignment="1">
      <alignment horizontal="center" vertical="center" wrapText="1"/>
    </xf>
    <xf numFmtId="0" fontId="5" fillId="2" borderId="39" xfId="0" applyFont="1" applyFill="1" applyBorder="1" applyAlignment="1">
      <alignment horizontal="center" vertical="center" wrapText="1"/>
    </xf>
    <xf numFmtId="9" fontId="1" fillId="0" borderId="47" xfId="0" applyNumberFormat="1" applyFont="1" applyBorder="1" applyAlignment="1">
      <alignment horizontal="center" vertical="center" wrapText="1"/>
    </xf>
    <xf numFmtId="9" fontId="1" fillId="0" borderId="79" xfId="0" applyNumberFormat="1" applyFont="1" applyBorder="1" applyAlignment="1">
      <alignment horizontal="center" vertical="center" wrapText="1"/>
    </xf>
    <xf numFmtId="10" fontId="1" fillId="0" borderId="118" xfId="0" applyNumberFormat="1" applyFont="1" applyBorder="1" applyAlignment="1">
      <alignment horizontal="center" vertical="center" wrapText="1"/>
    </xf>
    <xf numFmtId="10" fontId="1" fillId="0" borderId="119" xfId="0" applyNumberFormat="1" applyFont="1" applyBorder="1" applyAlignment="1">
      <alignment horizontal="center" vertical="center" wrapText="1"/>
    </xf>
    <xf numFmtId="0" fontId="12" fillId="0" borderId="56" xfId="0" applyFont="1" applyBorder="1" applyAlignment="1">
      <alignment horizontal="center"/>
    </xf>
    <xf numFmtId="0" fontId="3" fillId="2" borderId="43" xfId="0" applyFont="1" applyFill="1" applyBorder="1" applyAlignment="1">
      <alignment horizontal="center" vertical="center" wrapText="1"/>
    </xf>
    <xf numFmtId="0" fontId="3" fillId="2" borderId="44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33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3" fillId="2" borderId="76" xfId="0" applyFont="1" applyFill="1" applyBorder="1" applyAlignment="1">
      <alignment horizontal="center" vertical="center" wrapText="1"/>
    </xf>
    <xf numFmtId="0" fontId="3" fillId="2" borderId="77" xfId="0" applyFont="1" applyFill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31" xfId="0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0" fontId="4" fillId="2" borderId="40" xfId="0" applyFont="1" applyFill="1" applyBorder="1" applyAlignment="1">
      <alignment horizontal="center" vertical="center" wrapText="1"/>
    </xf>
    <xf numFmtId="0" fontId="4" fillId="2" borderId="41" xfId="0" applyFont="1" applyFill="1" applyBorder="1" applyAlignment="1">
      <alignment horizontal="center" vertical="center" wrapText="1"/>
    </xf>
    <xf numFmtId="0" fontId="4" fillId="2" borderId="42" xfId="0" applyFont="1" applyFill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1" xfId="0" applyFont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3" fillId="2" borderId="37" xfId="0" applyFont="1" applyFill="1" applyBorder="1" applyAlignment="1">
      <alignment horizontal="center" vertical="center" wrapText="1"/>
    </xf>
    <xf numFmtId="0" fontId="3" fillId="2" borderId="38" xfId="0" applyFont="1" applyFill="1" applyBorder="1" applyAlignment="1">
      <alignment horizontal="center" vertical="center" wrapText="1"/>
    </xf>
    <xf numFmtId="0" fontId="3" fillId="2" borderId="39" xfId="0" applyFont="1" applyFill="1" applyBorder="1" applyAlignment="1">
      <alignment horizontal="center" vertical="center" wrapText="1"/>
    </xf>
    <xf numFmtId="0" fontId="4" fillId="2" borderId="26" xfId="0" applyFont="1" applyFill="1" applyBorder="1" applyAlignment="1">
      <alignment horizontal="center" vertical="center" wrapText="1"/>
    </xf>
    <xf numFmtId="0" fontId="3" fillId="2" borderId="10" xfId="0" applyFont="1" applyFill="1" applyBorder="1" applyAlignment="1">
      <alignment horizontal="center" vertical="center" wrapText="1"/>
    </xf>
    <xf numFmtId="0" fontId="3" fillId="2" borderId="13" xfId="0" applyFont="1" applyFill="1" applyBorder="1" applyAlignment="1">
      <alignment horizontal="center" vertical="center" wrapText="1"/>
    </xf>
    <xf numFmtId="0" fontId="3" fillId="2" borderId="14" xfId="0" applyFont="1" applyFill="1" applyBorder="1" applyAlignment="1">
      <alignment horizontal="center" vertical="center" wrapText="1"/>
    </xf>
    <xf numFmtId="0" fontId="3" fillId="4" borderId="58" xfId="0" applyFont="1" applyFill="1" applyBorder="1" applyAlignment="1">
      <alignment horizontal="center" vertical="center" wrapText="1"/>
    </xf>
    <xf numFmtId="0" fontId="3" fillId="4" borderId="59" xfId="0" applyFont="1" applyFill="1" applyBorder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center" wrapText="1"/>
    </xf>
    <xf numFmtId="0" fontId="4" fillId="2" borderId="12" xfId="0" applyFont="1" applyFill="1" applyBorder="1" applyAlignment="1">
      <alignment horizontal="center" vertical="center" wrapText="1"/>
    </xf>
    <xf numFmtId="0" fontId="4" fillId="2" borderId="15" xfId="0" applyFont="1" applyFill="1" applyBorder="1" applyAlignment="1">
      <alignment horizontal="center" vertical="center" wrapText="1"/>
    </xf>
    <xf numFmtId="0" fontId="4" fillId="2" borderId="16" xfId="0" applyFont="1" applyFill="1" applyBorder="1" applyAlignment="1">
      <alignment horizontal="center" vertical="center" wrapText="1"/>
    </xf>
    <xf numFmtId="0" fontId="5" fillId="0" borderId="62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64" xfId="0" applyFont="1" applyBorder="1" applyAlignment="1">
      <alignment horizontal="center" vertical="center" wrapText="1"/>
    </xf>
    <xf numFmtId="0" fontId="0" fillId="8" borderId="56" xfId="0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5" fillId="0" borderId="130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13" fillId="4" borderId="4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0" fontId="15" fillId="4" borderId="4" xfId="0" applyFont="1" applyFill="1" applyBorder="1" applyAlignment="1">
      <alignment horizontal="center" vertical="center" wrapText="1"/>
    </xf>
    <xf numFmtId="0" fontId="15" fillId="4" borderId="6" xfId="0" applyFont="1" applyFill="1" applyBorder="1" applyAlignment="1">
      <alignment horizontal="center" vertical="center" wrapText="1"/>
    </xf>
    <xf numFmtId="0" fontId="16" fillId="4" borderId="37" xfId="0" applyFont="1" applyFill="1" applyBorder="1" applyAlignment="1">
      <alignment horizontal="center" vertical="center" wrapText="1"/>
    </xf>
    <xf numFmtId="0" fontId="16" fillId="4" borderId="38" xfId="0" applyFont="1" applyFill="1" applyBorder="1" applyAlignment="1">
      <alignment horizontal="center" vertical="center" wrapText="1"/>
    </xf>
    <xf numFmtId="0" fontId="16" fillId="4" borderId="45" xfId="0" applyFont="1" applyFill="1" applyBorder="1" applyAlignment="1">
      <alignment horizontal="center" vertical="center" wrapText="1"/>
    </xf>
    <xf numFmtId="0" fontId="15" fillId="4" borderId="40" xfId="0" applyFont="1" applyFill="1" applyBorder="1" applyAlignment="1">
      <alignment horizontal="center" vertical="center" wrapText="1"/>
    </xf>
    <xf numFmtId="0" fontId="15" fillId="4" borderId="26" xfId="0" applyFont="1" applyFill="1" applyBorder="1" applyAlignment="1">
      <alignment horizontal="center" vertical="center" wrapText="1"/>
    </xf>
    <xf numFmtId="0" fontId="15" fillId="4" borderId="41" xfId="0" applyFont="1" applyFill="1" applyBorder="1" applyAlignment="1">
      <alignment horizontal="center" vertical="center" wrapText="1"/>
    </xf>
    <xf numFmtId="0" fontId="13" fillId="2" borderId="2" xfId="0" applyFont="1" applyFill="1" applyBorder="1" applyAlignment="1">
      <alignment horizontal="center" vertical="center" wrapText="1"/>
    </xf>
    <xf numFmtId="0" fontId="13" fillId="2" borderId="4" xfId="0" applyFont="1" applyFill="1" applyBorder="1" applyAlignment="1">
      <alignment horizontal="center" vertical="center" wrapText="1"/>
    </xf>
    <xf numFmtId="0" fontId="13" fillId="2" borderId="6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0" fontId="25" fillId="7" borderId="103" xfId="0" applyFont="1" applyFill="1" applyBorder="1" applyAlignment="1">
      <alignment horizontal="center" vertical="center"/>
    </xf>
    <xf numFmtId="0" fontId="22" fillId="6" borderId="0" xfId="0" applyFont="1" applyFill="1" applyBorder="1" applyAlignment="1">
      <alignment horizontal="center" vertical="center" wrapText="1"/>
    </xf>
    <xf numFmtId="0" fontId="22" fillId="6" borderId="95" xfId="0" applyFont="1" applyFill="1" applyBorder="1" applyAlignment="1">
      <alignment horizontal="center" vertical="center" wrapText="1"/>
    </xf>
    <xf numFmtId="0" fontId="22" fillId="6" borderId="98" xfId="0" applyFont="1" applyFill="1" applyBorder="1" applyAlignment="1">
      <alignment horizontal="center" vertical="center" wrapText="1"/>
    </xf>
    <xf numFmtId="0" fontId="29" fillId="0" borderId="5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</cellXfs>
  <cellStyles count="3">
    <cellStyle name="Normal" xfId="0" builtinId="0"/>
    <cellStyle name="Normal 2" xfId="2"/>
    <cellStyle name="Percent" xfId="1" builtinId="5"/>
  </cellStyles>
  <dxfs count="0"/>
  <tableStyles count="0" defaultTableStyle="TableStyleMedium2" defaultPivotStyle="PivotStyleLight16"/>
  <colors>
    <mruColors>
      <color rgb="FFCCFF33"/>
      <color rgb="FFFFCCCC"/>
      <color rgb="FFFFCC99"/>
      <color rgb="FFCCCCFF"/>
      <color rgb="FFFFCCFF"/>
      <color rgb="FFFFCC66"/>
      <color rgb="FFFF9999"/>
      <color rgb="FFFF9966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theme" Target="theme/theme1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30103</xdr:colOff>
      <xdr:row>63</xdr:row>
      <xdr:rowOff>196191</xdr:rowOff>
    </xdr:from>
    <xdr:to>
      <xdr:col>77</xdr:col>
      <xdr:colOff>543480</xdr:colOff>
      <xdr:row>127</xdr:row>
      <xdr:rowOff>24395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494103" y="14320405"/>
          <a:ext cx="22366448" cy="1376191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158</xdr:col>
      <xdr:colOff>606670</xdr:colOff>
      <xdr:row>54</xdr:row>
      <xdr:rowOff>7259</xdr:rowOff>
    </xdr:from>
    <xdr:to>
      <xdr:col>197</xdr:col>
      <xdr:colOff>460471</xdr:colOff>
      <xdr:row>135</xdr:row>
      <xdr:rowOff>42424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859488" y="15166441"/>
          <a:ext cx="25519347" cy="1938534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63</xdr:col>
      <xdr:colOff>373888</xdr:colOff>
      <xdr:row>191</xdr:row>
      <xdr:rowOff>391148</xdr:rowOff>
    </xdr:from>
    <xdr:to>
      <xdr:col>81</xdr:col>
      <xdr:colOff>400915</xdr:colOff>
      <xdr:row>274</xdr:row>
      <xdr:rowOff>179966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394888" y="27061148"/>
          <a:ext cx="11457026" cy="1581440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388373</xdr:colOff>
      <xdr:row>23</xdr:row>
      <xdr:rowOff>6391</xdr:rowOff>
    </xdr:to>
    <xdr:pic>
      <xdr:nvPicPr>
        <xdr:cNvPr id="2" name="Picture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603505" y="919514"/>
          <a:ext cx="3075826" cy="42022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74706</xdr:colOff>
      <xdr:row>133</xdr:row>
      <xdr:rowOff>45889</xdr:rowOff>
    </xdr:from>
    <xdr:to>
      <xdr:col>25</xdr:col>
      <xdr:colOff>409896</xdr:colOff>
      <xdr:row>175</xdr:row>
      <xdr:rowOff>182483</xdr:rowOff>
    </xdr:to>
    <xdr:pic>
      <xdr:nvPicPr>
        <xdr:cNvPr id="3" name="_x524315136" descr="EMB0000336063e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1389530" y="29965595"/>
          <a:ext cx="15717131" cy="9235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49</xdr:col>
      <xdr:colOff>368328</xdr:colOff>
      <xdr:row>117</xdr:row>
      <xdr:rowOff>84940</xdr:rowOff>
    </xdr:from>
    <xdr:to>
      <xdr:col>89</xdr:col>
      <xdr:colOff>683161</xdr:colOff>
      <xdr:row>211</xdr:row>
      <xdr:rowOff>35215</xdr:rowOff>
    </xdr:to>
    <xdr:pic>
      <xdr:nvPicPr>
        <xdr:cNvPr id="2" name="_x185156296" descr="EMB00003da8585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38041146" y="28706122"/>
          <a:ext cx="27573651" cy="24299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396581</xdr:colOff>
      <xdr:row>131</xdr:row>
      <xdr:rowOff>26626</xdr:rowOff>
    </xdr:from>
    <xdr:to>
      <xdr:col>105</xdr:col>
      <xdr:colOff>1335</xdr:colOff>
      <xdr:row>187</xdr:row>
      <xdr:rowOff>201572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42867" y="30987412"/>
          <a:ext cx="6290396" cy="14951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88</xdr:col>
      <xdr:colOff>434255</xdr:colOff>
      <xdr:row>130</xdr:row>
      <xdr:rowOff>97598</xdr:rowOff>
    </xdr:from>
    <xdr:to>
      <xdr:col>98</xdr:col>
      <xdr:colOff>427427</xdr:colOff>
      <xdr:row>187</xdr:row>
      <xdr:rowOff>51645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27541" y="30840669"/>
          <a:ext cx="6270600" cy="14948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19780</xdr:colOff>
      <xdr:row>22</xdr:row>
      <xdr:rowOff>13606</xdr:rowOff>
    </xdr:from>
    <xdr:to>
      <xdr:col>62</xdr:col>
      <xdr:colOff>531775</xdr:colOff>
      <xdr:row>99</xdr:row>
      <xdr:rowOff>203715</xdr:rowOff>
    </xdr:to>
    <xdr:pic>
      <xdr:nvPicPr>
        <xdr:cNvPr id="2" name="_x185156296" descr="EMB00003da8585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24893637" y="4871356"/>
          <a:ext cx="21766352" cy="184645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56</xdr:col>
      <xdr:colOff>332174</xdr:colOff>
      <xdr:row>21</xdr:row>
      <xdr:rowOff>283347</xdr:rowOff>
    </xdr:from>
    <xdr:to>
      <xdr:col>65</xdr:col>
      <xdr:colOff>668992</xdr:colOff>
      <xdr:row>84</xdr:row>
      <xdr:rowOff>1382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14960" y="4760097"/>
          <a:ext cx="6460032" cy="14687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648341</xdr:colOff>
      <xdr:row>10</xdr:row>
      <xdr:rowOff>64032</xdr:rowOff>
    </xdr:from>
    <xdr:to>
      <xdr:col>62</xdr:col>
      <xdr:colOff>296797</xdr:colOff>
      <xdr:row>71</xdr:row>
      <xdr:rowOff>79559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58576" y="2237973"/>
          <a:ext cx="6484044" cy="151357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433731</xdr:colOff>
      <xdr:row>23</xdr:row>
      <xdr:rowOff>124320</xdr:rowOff>
    </xdr:to>
    <xdr:pic>
      <xdr:nvPicPr>
        <xdr:cNvPr id="3" name="Picture 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857505" y="894114"/>
          <a:ext cx="3177426" cy="40974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607800</xdr:colOff>
      <xdr:row>47</xdr:row>
      <xdr:rowOff>47224</xdr:rowOff>
    </xdr:from>
    <xdr:to>
      <xdr:col>24</xdr:col>
      <xdr:colOff>192646</xdr:colOff>
      <xdr:row>77</xdr:row>
      <xdr:rowOff>19731</xdr:rowOff>
    </xdr:to>
    <xdr:pic>
      <xdr:nvPicPr>
        <xdr:cNvPr id="4" name="_x524315136" descr="EMB0000336063e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5370300" y="9721903"/>
          <a:ext cx="11341417" cy="6095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310388</xdr:colOff>
      <xdr:row>22</xdr:row>
      <xdr:rowOff>137148</xdr:rowOff>
    </xdr:from>
    <xdr:to>
      <xdr:col>68</xdr:col>
      <xdr:colOff>337414</xdr:colOff>
      <xdr:row>88</xdr:row>
      <xdr:rowOff>151596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04495" y="5035719"/>
          <a:ext cx="12273455" cy="1545855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523875</xdr:colOff>
      <xdr:row>4</xdr:row>
      <xdr:rowOff>0</xdr:rowOff>
    </xdr:from>
    <xdr:to>
      <xdr:col>65</xdr:col>
      <xdr:colOff>377675</xdr:colOff>
      <xdr:row>83</xdr:row>
      <xdr:rowOff>35797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0" y="838200"/>
          <a:ext cx="26600000" cy="184190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7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1.xml"/></Relationships>
</file>

<file path=xl/worksheets/_rels/sheet7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7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3.xml"/></Relationships>
</file>

<file path=xl/worksheets/_rels/sheet7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4.xml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comments" Target="../comments5.xml"/><Relationship Id="rId1" Type="http://schemas.openxmlformats.org/officeDocument/2006/relationships/vmlDrawing" Target="../drawings/vmlDrawing5.vml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comments" Target="../comments6.xml"/><Relationship Id="rId1" Type="http://schemas.openxmlformats.org/officeDocument/2006/relationships/vmlDrawing" Target="../drawings/vmlDrawing6.vml"/></Relationships>
</file>

<file path=xl/worksheets/_rels/sheet83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printerSettings" Target="../printerSettings/printerSettings7.bin"/></Relationships>
</file>

<file path=xl/worksheets/_rels/sheet8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8.xml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FF33"/>
  </sheetPr>
  <dimension ref="A1:C2"/>
  <sheetViews>
    <sheetView tabSelected="1" workbookViewId="0">
      <selection activeCell="B28" sqref="B28"/>
    </sheetView>
  </sheetViews>
  <sheetFormatPr defaultRowHeight="17"/>
  <cols>
    <col min="2" max="3" width="16.6640625" bestFit="1" customWidth="1"/>
  </cols>
  <sheetData>
    <row r="1" spans="1:3">
      <c r="A1" s="433" t="s">
        <v>898</v>
      </c>
      <c r="B1" s="433">
        <v>2035</v>
      </c>
      <c r="C1" s="194"/>
    </row>
    <row r="2" spans="1:3">
      <c r="A2" s="194"/>
      <c r="B2" s="411"/>
      <c r="C2" s="411"/>
    </row>
  </sheetData>
  <phoneticPr fontId="2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C2" sqref="C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'A.일산테크노밸리(859991)_수정'!EI91</f>
        <v>46.498222171002681</v>
      </c>
      <c r="C2" s="411">
        <f>'E.관광문화단지(849301)_수정'!ER17+'C.장항공공주택지구(849992)'!EZ137+'B.고양영상밸리(849991)_수정'!ER82</f>
        <v>39.952280798015082</v>
      </c>
    </row>
  </sheetData>
  <phoneticPr fontId="2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C11" sqref="C11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903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'A.일산테크노밸리(859991)_수정'!EI140</f>
        <v>46.34886784829434</v>
      </c>
      <c r="C2" s="411">
        <f>'E.관광문화단지(849301)_수정'!ER60+'C.장항공공주택지구(849992)'!EZ180+'B.고양영상밸리(849991)_수정'!ER108</f>
        <v>51.570995901190329</v>
      </c>
    </row>
  </sheetData>
  <phoneticPr fontId="2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B24" sqref="B24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'A.일산테크노밸리(859991)_수정'!EJ91</f>
        <v>1457.9424508320519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C12" sqref="C1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905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'A.일산테크노밸리(859991)_수정'!EJ140</f>
        <v>1458.1131685023972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12" sqref="C1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'A.일산테크노밸리(859991)_수정'!EH91</f>
        <v>11480.706768974527</v>
      </c>
      <c r="C2" s="411">
        <f>'E.관광문화단지(849301)_수정'!EQ17+'D.cj라이브시티(849201)_수정'!EQ36+'B.고양영상밸리(849991)_수정'!EQ82</f>
        <v>8927.1204467443422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12" sqref="C12"/>
    </sheetView>
  </sheetViews>
  <sheetFormatPr defaultRowHeight="17"/>
  <cols>
    <col min="2" max="3" width="17.75" bestFit="1" customWidth="1"/>
  </cols>
  <sheetData>
    <row r="1" spans="1:3">
      <c r="A1" s="194" t="s">
        <v>906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'A.일산테크노밸리(859991)_수정'!EH140</f>
        <v>11652.834249146714</v>
      </c>
      <c r="C2" s="411">
        <f>'E.관광문화단지(849301)_수정'!EQ60+'D.cj라이브시티(849201)_수정'!EQ79+'B.고양영상밸리(849991)_수정'!EQ108</f>
        <v>8947.0232513896863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12" sqref="C1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'A.일산테크노밸리(859991)_수정'!EI91</f>
        <v>46.498222171002681</v>
      </c>
      <c r="C2" s="411">
        <f>'E.관광문화단지(849301)_수정'!ER17+'D.cj라이브시티(849201)_수정'!ER36+'B.고양영상밸리(849991)_수정'!ER82</f>
        <v>23.625033818418245</v>
      </c>
    </row>
  </sheetData>
  <phoneticPr fontId="2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12" sqref="C1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907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'A.일산테크노밸리(859991)_수정'!EI140</f>
        <v>46.34886784829434</v>
      </c>
      <c r="C2" s="411">
        <f>'E.관광문화단지(849301)_수정'!ER60+'D.cj라이브시티(849201)_수정'!ER79+'B.고양영상밸리(849991)_수정'!ER108</f>
        <v>23.622793309379929</v>
      </c>
    </row>
  </sheetData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'A.일산테크노밸리(859991)_수정'!EJ91</f>
        <v>1457.9424508320519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909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'A.일산테크노밸리(859991)_수정'!EJ140</f>
        <v>1458.1131685023972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2" sqref="C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'A.일산테크노밸리(859991)_수정'!EH91</f>
        <v>11480.706768974527</v>
      </c>
      <c r="C2" s="411">
        <f>'D.cj라이브시티(849201)_수정'!EQ36+'C.장항공공주택지구(849992)'!EY137+'B.고양영상밸리(849991)_수정'!EQ82</f>
        <v>16647.196695625622</v>
      </c>
    </row>
  </sheetData>
  <phoneticPr fontId="2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4" sqref="C24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'A.일산테크노밸리(859991)_수정'!EH91</f>
        <v>11480.706768974527</v>
      </c>
      <c r="C2" s="411">
        <f>'E.관광문화단지(849301)_수정'!EQ17+'D.cj라이브시티(849201)_수정'!EQ36+'C.장항공공주택지구(849992)'!EY137</f>
        <v>13250.292479392698</v>
      </c>
    </row>
  </sheetData>
  <phoneticPr fontId="2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12" sqref="C12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'A.일산테크노밸리(859991)_수정'!EH140</f>
        <v>11652.834249146714</v>
      </c>
      <c r="C2" s="411">
        <f>'E.관광문화단지(849301)_수정'!EQ60+'D.cj라이브시티(849201)_수정'!EQ79+'C.장항공공주택지구(849992)'!EY180</f>
        <v>13293.415104763961</v>
      </c>
    </row>
  </sheetData>
  <phoneticPr fontId="2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12" sqref="C1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'A.일산테크노밸리(859991)_수정'!EI91</f>
        <v>46.498222171002681</v>
      </c>
      <c r="C2" s="411">
        <f>'E.관광문화단지(849301)_수정'!ER17+'D.cj라이브시티(849201)_수정'!ER36+'C.장항공공주택지구(849992)'!EZ137</f>
        <v>26.902022275272458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12" sqref="C1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907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'A.일산테크노밸리(859991)_수정'!EI140</f>
        <v>46.34886784829434</v>
      </c>
      <c r="C2" s="411">
        <f>'E.관광문화단지(849301)_수정'!ER60+'D.cj라이브시티(849201)_수정'!ER79+'C.장항공공주택지구(849992)'!EZ180</f>
        <v>38.520737378447706</v>
      </c>
    </row>
  </sheetData>
  <phoneticPr fontId="2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3" sqref="C3"/>
    </sheetView>
  </sheetViews>
  <sheetFormatPr defaultRowHeight="17"/>
  <cols>
    <col min="2" max="2" width="16.75" bestFit="1" customWidth="1"/>
    <col min="3" max="3" width="13.5" bestFit="1" customWidth="1"/>
  </cols>
  <sheetData>
    <row r="1" spans="1:3">
      <c r="A1" s="194" t="s">
        <v>908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'A.일산테크노밸리(859991)_수정'!EJ91</f>
        <v>1457.9424508320519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B2" sqref="B2"/>
    </sheetView>
  </sheetViews>
  <sheetFormatPr defaultRowHeight="17"/>
  <cols>
    <col min="2" max="2" width="16.75" bestFit="1" customWidth="1"/>
    <col min="3" max="3" width="13.5" bestFit="1" customWidth="1"/>
  </cols>
  <sheetData>
    <row r="1" spans="1:3">
      <c r="A1" s="194" t="s">
        <v>910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'A.일산테크노밸리(859991)_수정'!EJ140</f>
        <v>1458.1131685023972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H34" sqref="H34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'E.관광문화단지(849301)_수정'!EQ17+'D.cj라이브시티(849201)_수정'!EQ36+'C.장항공공주택지구(849992)'!EY137+'B.고양영상밸리(849991)_수정'!EQ82</f>
        <v>19002.054674652449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C12" sqref="C12"/>
    </sheetView>
  </sheetViews>
  <sheetFormatPr defaultRowHeight="17"/>
  <cols>
    <col min="2" max="3" width="17.75" bestFit="1" customWidth="1"/>
  </cols>
  <sheetData>
    <row r="1" spans="1:3">
      <c r="A1" s="194" t="s">
        <v>906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'E.관광문화단지(849301)_수정'!EQ60+'D.cj라이브시티(849201)_수정'!EQ79+'C.장항공공주택지구(849992)'!EY180+'B.고양영상밸리(849991)_수정'!EQ108</f>
        <v>19058.547461676033</v>
      </c>
    </row>
  </sheetData>
  <phoneticPr fontId="2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C12" sqref="C1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'E.관광문화단지(849301)_수정'!ER17+'D.cj라이브시티(849201)_수정'!ER36+'C.장항공공주택지구(849992)'!EZ137+'B.고양영상밸리(849991)_수정'!ER82</f>
        <v>42.123680500805612</v>
      </c>
    </row>
  </sheetData>
  <phoneticPr fontId="2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907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'E.관광문화단지(849301)_수정'!ER60+'D.cj라이브시티(849201)_수정'!ER79+'C.장항공공주택지구(849992)'!EZ180+'B.고양영상밸리(849991)_수정'!ER108</f>
        <v>53.74239560398086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12" sqref="C12"/>
    </sheetView>
  </sheetViews>
  <sheetFormatPr defaultRowHeight="17"/>
  <cols>
    <col min="2" max="3" width="17.7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'A.일산테크노밸리(859991)_수정'!EH140</f>
        <v>11652.834249146714</v>
      </c>
      <c r="C2" s="411">
        <f>'D.cj라이브시티(849201)_수정'!EQ79+'C.장항공공주택지구(849992)'!EY180+'B.고양영상밸리(849991)_수정'!EQ108</f>
        <v>16699.064119704646</v>
      </c>
    </row>
  </sheetData>
  <phoneticPr fontId="2" type="noConversion"/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909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3" sqref="A3"/>
    </sheetView>
  </sheetViews>
  <sheetFormatPr defaultRowHeight="17"/>
  <cols>
    <col min="2" max="3" width="16.66406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3" width="16.66406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'A.일산테크노밸리(859991)_수정'!EH90</f>
        <v>11480.706768974527</v>
      </c>
      <c r="C2" s="411">
        <v>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'A.일산테크노밸리(859991)_수정'!EH139</f>
        <v>11652.834249146714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12" sqref="C1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'A.일산테크노밸리(859991)_수정'!EI91</f>
        <v>46.498222171002681</v>
      </c>
      <c r="C2" s="411">
        <f>'D.cj라이브시티(849201)_수정'!ER36+'C.장항공공주택지구(849992)'!EZ137+'B.고양영상밸리(849991)_수정'!ER82</f>
        <v>35.891704610711052</v>
      </c>
    </row>
  </sheetData>
  <phoneticPr fontId="2" type="noConversion"/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414062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'A.일산테크노밸리(859991)_수정'!EI90</f>
        <v>46.498222171002681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414062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'A.일산테크노밸리(859991)_수정'!EI139</f>
        <v>46.34886784829434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'A.일산테크노밸리(859991)_수정'!EJ90</f>
        <v>1457.9424508320519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'A.일산테크노밸리(859991)_수정'!EJ139</f>
        <v>1458.1131685023972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6.66406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'B.고양영상밸리(849991)_수정'!EQ82</f>
        <v>5751.7621952597528</v>
      </c>
    </row>
  </sheetData>
  <phoneticPr fontId="2" type="noConversion"/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3" sqref="C3"/>
    </sheetView>
  </sheetViews>
  <sheetFormatPr defaultRowHeight="17"/>
  <cols>
    <col min="2" max="2" width="13.4140625" bestFit="1" customWidth="1"/>
    <col min="3" max="3" width="16.66406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'B.고양영상밸리(849991)_수정'!EQ108</f>
        <v>5765.1323569120732</v>
      </c>
    </row>
  </sheetData>
  <phoneticPr fontId="2" type="noConversion"/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'B.고양영상밸리(849991)_수정'!ER82</f>
        <v>15.221658225533153</v>
      </c>
    </row>
  </sheetData>
  <phoneticPr fontId="2" type="noConversion"/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'B.고양영상밸리(849991)_수정'!ER108</f>
        <v>15.221658225533156</v>
      </c>
    </row>
  </sheetData>
  <phoneticPr fontId="2" type="noConversion"/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A2" sqref="A2"/>
    </sheetView>
  </sheetViews>
  <sheetFormatPr defaultRowHeight="17"/>
  <cols>
    <col min="2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50" sqref="C50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12" sqref="C1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903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'A.일산테크노밸리(859991)_수정'!EI140</f>
        <v>46.34886784829434</v>
      </c>
      <c r="C2" s="411">
        <f>'D.cj라이브시티(849201)_수정'!ER79+'C.장항공공주택지구(849992)'!EZ180+'B.고양영상밸리(849991)_수정'!ER108</f>
        <v>47.512660222924623</v>
      </c>
    </row>
  </sheetData>
  <phoneticPr fontId="2" type="noConversion"/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'C.장항공공주택지구(849992)'!EY137</f>
        <v>10074.934227908108</v>
      </c>
    </row>
  </sheetData>
  <phoneticPr fontId="2" type="noConversion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'C.장항공공주택지구(849992)'!EY180</f>
        <v>10111.524210286349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'C.장항공공주택지구(849992)'!EZ137</f>
        <v>18.498646682387367</v>
      </c>
    </row>
  </sheetData>
  <phoneticPr fontId="2" type="noConversion"/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'C.장항공공주택지구(849992)'!EZ180</f>
        <v>30.119602294600938</v>
      </c>
    </row>
  </sheetData>
  <phoneticPr fontId="2" type="noConversion"/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Y50" sqref="Y50"/>
    </sheetView>
  </sheetViews>
  <sheetFormatPr defaultRowHeight="17"/>
  <cols>
    <col min="2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B2" sqref="B2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T41" sqref="T41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'D.cj라이브시티(849201)_수정'!EQ36</f>
        <v>820.50027245775959</v>
      </c>
    </row>
  </sheetData>
  <phoneticPr fontId="2" type="noConversion"/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'D.cj라이브시티(849201)_수정'!EQ79</f>
        <v>822.40755250622408</v>
      </c>
    </row>
  </sheetData>
  <phoneticPr fontId="2" type="noConversion"/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34">
        <f>'D.cj라이브시티(849201)_수정'!ER36</f>
        <v>2.1713997027905325</v>
      </c>
    </row>
  </sheetData>
  <phoneticPr fontId="2" type="noConversion"/>
  <pageMargins left="0.7" right="0.7" top="0.75" bottom="0.75" header="0.3" footer="0.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'D.cj라이브시티(849201)_수정'!ER79</f>
        <v>2.171399702790533</v>
      </c>
    </row>
  </sheetData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12" sqref="C1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'A.일산테크노밸리(859991)_수정'!EJ91</f>
        <v>1457.9424508320519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K11" sqref="K11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A2" sqref="A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'E.관광문화단지(849301)_수정'!EQ17</f>
        <v>2354.85797902683</v>
      </c>
    </row>
  </sheetData>
  <phoneticPr fontId="2" type="noConversion"/>
  <pageMargins left="0.7" right="0.7" top="0.75" bottom="0.75" header="0.3" footer="0.3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sqref="A1:C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'E.관광문화단지(849301)_수정'!EQ60</f>
        <v>2359.4833419713887</v>
      </c>
    </row>
  </sheetData>
  <phoneticPr fontId="2" type="noConversion"/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P15" sqref="P15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'E.관광문화단지(849301)_수정'!ER17</f>
        <v>6.2319758900945601</v>
      </c>
    </row>
  </sheetData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Q6" sqref="Q6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v>0</v>
      </c>
      <c r="C2" s="411">
        <f>'E.관광문화단지(849301)_수정'!ER60</f>
        <v>6.2297353810562379</v>
      </c>
    </row>
  </sheetData>
  <phoneticPr fontId="2" type="noConversion"/>
  <pageMargins left="0.7" right="0.7" top="0.75" bottom="0.75" header="0.3" footer="0.3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U11" sqref="U11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B2" sqref="B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B2" sqref="B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'A.일산테크노밸리(859991)_수정'!EH90</f>
        <v>11480.706768974527</v>
      </c>
      <c r="C2" s="411">
        <f>'E.관광문화단지(849301)_수정'!EQ17+'D.cj라이브시티(849201)_수정'!EQ36+'C.장항공공주택지구(849992)'!EY137+'B.고양영상밸리(849991)_수정'!EQ82</f>
        <v>19002.054674652449</v>
      </c>
    </row>
  </sheetData>
  <phoneticPr fontId="2" type="noConversion"/>
  <pageMargins left="0.7" right="0.7" top="0.75" bottom="0.75" header="0.3" footer="0.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Q12" sqref="Q1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'A.일산테크노밸리(859991)_수정'!EH139</f>
        <v>11652.834249146714</v>
      </c>
      <c r="C2" s="411">
        <f>'E.관광문화단지(849301)_수정'!EQ60+'D.cj라이브시티(849201)_수정'!EQ79+'C.장항공공주택지구(849992)'!EY180+'B.고양영상밸리(849991)_수정'!EQ108</f>
        <v>19058.547461676033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topLeftCell="A20"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905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'A.일산테크노밸리(859991)_수정'!EJ140</f>
        <v>1458.1131685023972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C2" sqref="A1:C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'A.일산테크노밸리(859991)_수정'!EI90</f>
        <v>46.498222171002681</v>
      </c>
      <c r="C2" s="411">
        <f>'E.관광문화단지(849301)_수정'!ER17+'D.cj라이브시티(849201)_수정'!ER36+'C.장항공공주택지구(849992)'!EZ137+'B.고양영상밸리(849991)_수정'!ER82</f>
        <v>42.123680500805612</v>
      </c>
    </row>
  </sheetData>
  <phoneticPr fontId="2" type="noConversion"/>
  <pageMargins left="0.7" right="0.7" top="0.75" bottom="0.75" header="0.3" footer="0.3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/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'A.일산테크노밸리(859991)_수정'!EI139</f>
        <v>46.34886784829434</v>
      </c>
      <c r="C2" s="411">
        <f>'E.관광문화단지(849301)_수정'!ER60+'D.cj라이브시티(849201)_수정'!ER79+'C.장항공공주택지구(849992)'!EZ180+'B.고양영상밸리(849991)_수정'!ER108</f>
        <v>53.74239560398086</v>
      </c>
    </row>
  </sheetData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Z13" sqref="Z13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899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'A.일산테크노밸리(859991)_수정'!EJ90</f>
        <v>1457.9424508320519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A2" sqref="A2:C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2035</v>
      </c>
      <c r="B2" s="410">
        <f>'A.일산테크노밸리(859991)_수정'!EJ139</f>
        <v>1458.1131685023972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79998168889431442"/>
  </sheetPr>
  <dimension ref="A1:FH67"/>
  <sheetViews>
    <sheetView topLeftCell="DZ10" zoomScale="85" zoomScaleNormal="85" workbookViewId="0">
      <selection activeCell="EW31" sqref="EW31"/>
    </sheetView>
  </sheetViews>
  <sheetFormatPr defaultRowHeight="17"/>
  <cols>
    <col min="13" max="13" width="10.08203125" bestFit="1" customWidth="1"/>
    <col min="27" max="27" width="10.08203125" bestFit="1" customWidth="1"/>
    <col min="41" max="41" width="10.08203125" bestFit="1" customWidth="1"/>
  </cols>
  <sheetData>
    <row r="1" spans="1:158">
      <c r="A1" s="32" t="s">
        <v>234</v>
      </c>
    </row>
    <row r="2" spans="1:158">
      <c r="B2" t="s">
        <v>153</v>
      </c>
      <c r="C2" t="s">
        <v>729</v>
      </c>
    </row>
    <row r="4" spans="1:158">
      <c r="B4" s="447" t="s">
        <v>730</v>
      </c>
      <c r="C4" s="447"/>
      <c r="D4" s="447" t="s">
        <v>732</v>
      </c>
      <c r="E4" s="447"/>
      <c r="F4" s="447" t="s">
        <v>740</v>
      </c>
      <c r="G4" s="447"/>
      <c r="H4" s="447" t="s">
        <v>735</v>
      </c>
      <c r="I4" s="447"/>
      <c r="J4" s="447" t="s">
        <v>736</v>
      </c>
      <c r="K4" s="447"/>
      <c r="L4" s="447" t="s">
        <v>738</v>
      </c>
      <c r="M4" s="447"/>
    </row>
    <row r="5" spans="1:158" ht="23">
      <c r="B5" t="s">
        <v>733</v>
      </c>
      <c r="C5" t="s">
        <v>734</v>
      </c>
      <c r="D5" t="s">
        <v>733</v>
      </c>
      <c r="E5" t="s">
        <v>734</v>
      </c>
      <c r="F5" t="s">
        <v>733</v>
      </c>
      <c r="G5" t="s">
        <v>734</v>
      </c>
      <c r="H5" t="s">
        <v>733</v>
      </c>
      <c r="I5" t="s">
        <v>734</v>
      </c>
      <c r="J5" t="s">
        <v>737</v>
      </c>
      <c r="K5" t="s">
        <v>731</v>
      </c>
      <c r="L5" t="s">
        <v>733</v>
      </c>
      <c r="M5" t="s">
        <v>739</v>
      </c>
      <c r="O5" s="351"/>
    </row>
    <row r="6" spans="1:158">
      <c r="A6" t="s">
        <v>741</v>
      </c>
      <c r="B6">
        <v>1764</v>
      </c>
      <c r="C6">
        <v>1764</v>
      </c>
      <c r="D6">
        <v>769</v>
      </c>
      <c r="E6">
        <v>769</v>
      </c>
      <c r="F6">
        <v>954</v>
      </c>
      <c r="G6">
        <v>954</v>
      </c>
      <c r="H6">
        <v>1767</v>
      </c>
      <c r="I6">
        <v>1767</v>
      </c>
      <c r="J6">
        <v>276</v>
      </c>
      <c r="K6">
        <v>276</v>
      </c>
      <c r="L6">
        <v>5530</v>
      </c>
      <c r="M6">
        <v>5530</v>
      </c>
    </row>
    <row r="7" spans="1:158">
      <c r="A7" t="s">
        <v>742</v>
      </c>
      <c r="B7">
        <v>1783</v>
      </c>
      <c r="C7">
        <v>1785</v>
      </c>
      <c r="D7">
        <v>796</v>
      </c>
      <c r="E7">
        <v>798</v>
      </c>
      <c r="F7">
        <v>923</v>
      </c>
      <c r="G7">
        <v>922</v>
      </c>
      <c r="H7">
        <v>1803</v>
      </c>
      <c r="I7">
        <v>1801</v>
      </c>
      <c r="J7">
        <v>256</v>
      </c>
      <c r="K7">
        <v>257</v>
      </c>
      <c r="L7">
        <v>5561</v>
      </c>
      <c r="M7">
        <v>5563</v>
      </c>
    </row>
    <row r="8" spans="1:158">
      <c r="EU8" s="32" t="s">
        <v>863</v>
      </c>
    </row>
    <row r="9" spans="1:158">
      <c r="ET9" s="279"/>
      <c r="EU9" s="279" t="s">
        <v>601</v>
      </c>
    </row>
    <row r="10" spans="1:158">
      <c r="ET10" s="279" t="s">
        <v>602</v>
      </c>
      <c r="EU10" s="293">
        <v>1</v>
      </c>
    </row>
    <row r="11" spans="1:158">
      <c r="J11" s="403"/>
      <c r="K11" s="32" t="s">
        <v>851</v>
      </c>
    </row>
    <row r="13" spans="1:158" s="227" customFormat="1" ht="19.5">
      <c r="A13" s="329">
        <v>2025</v>
      </c>
      <c r="B13" s="282"/>
      <c r="C13" s="283"/>
      <c r="D13" s="284"/>
      <c r="E13" s="284"/>
      <c r="F13" s="284"/>
      <c r="G13" s="284"/>
      <c r="H13" s="284"/>
      <c r="I13" s="284"/>
      <c r="K13" s="282"/>
      <c r="L13" s="282"/>
      <c r="M13" s="283"/>
      <c r="N13" s="284"/>
      <c r="O13" s="284"/>
      <c r="P13" s="284"/>
      <c r="Q13" s="284"/>
      <c r="R13" s="284"/>
      <c r="S13" s="284"/>
    </row>
    <row r="14" spans="1:158" ht="23.5" thickBot="1">
      <c r="A14" s="32" t="s">
        <v>468</v>
      </c>
      <c r="C14" t="s">
        <v>463</v>
      </c>
      <c r="D14" t="s">
        <v>467</v>
      </c>
      <c r="E14" t="s">
        <v>470</v>
      </c>
      <c r="F14" t="s">
        <v>465</v>
      </c>
      <c r="G14" t="s">
        <v>466</v>
      </c>
      <c r="H14" t="s">
        <v>21</v>
      </c>
      <c r="K14" s="32" t="s">
        <v>471</v>
      </c>
      <c r="CV14" s="32" t="s">
        <v>492</v>
      </c>
      <c r="CY14" t="s">
        <v>478</v>
      </c>
      <c r="CZ14" t="s">
        <v>479</v>
      </c>
      <c r="EL14" s="353" t="s">
        <v>854</v>
      </c>
      <c r="EV14" s="353" t="s">
        <v>745</v>
      </c>
    </row>
    <row r="15" spans="1:158">
      <c r="A15" t="s">
        <v>462</v>
      </c>
      <c r="C15" t="s">
        <v>427</v>
      </c>
      <c r="D15" t="s">
        <v>428</v>
      </c>
      <c r="E15" t="s">
        <v>429</v>
      </c>
      <c r="F15" t="s">
        <v>430</v>
      </c>
      <c r="G15" t="s">
        <v>431</v>
      </c>
      <c r="H15" t="s">
        <v>457</v>
      </c>
      <c r="K15" s="159" t="s">
        <v>482</v>
      </c>
      <c r="L15" s="159"/>
      <c r="M15" s="443" t="s">
        <v>463</v>
      </c>
      <c r="N15" s="444"/>
      <c r="O15" s="444"/>
      <c r="P15" s="444"/>
      <c r="Q15" s="444"/>
      <c r="R15" s="444"/>
      <c r="S15" s="444"/>
      <c r="T15" s="444"/>
      <c r="U15" s="444"/>
      <c r="V15" s="444"/>
      <c r="W15" s="444"/>
      <c r="X15" s="444"/>
      <c r="Y15" s="444"/>
      <c r="Z15" s="445"/>
      <c r="AA15" s="443" t="s">
        <v>467</v>
      </c>
      <c r="AB15" s="444"/>
      <c r="AC15" s="444"/>
      <c r="AD15" s="444"/>
      <c r="AE15" s="444"/>
      <c r="AF15" s="444"/>
      <c r="AG15" s="444"/>
      <c r="AH15" s="444"/>
      <c r="AI15" s="444"/>
      <c r="AJ15" s="444"/>
      <c r="AK15" s="444"/>
      <c r="AL15" s="444"/>
      <c r="AM15" s="444"/>
      <c r="AN15" s="445"/>
      <c r="AO15" s="443" t="s">
        <v>464</v>
      </c>
      <c r="AP15" s="444"/>
      <c r="AQ15" s="444"/>
      <c r="AR15" s="444"/>
      <c r="AS15" s="444"/>
      <c r="AT15" s="444"/>
      <c r="AU15" s="444"/>
      <c r="AV15" s="444"/>
      <c r="AW15" s="444"/>
      <c r="AX15" s="444"/>
      <c r="AY15" s="444"/>
      <c r="AZ15" s="444"/>
      <c r="BA15" s="444"/>
      <c r="BB15" s="445"/>
      <c r="BC15" s="443" t="s">
        <v>465</v>
      </c>
      <c r="BD15" s="444"/>
      <c r="BE15" s="444"/>
      <c r="BF15" s="444"/>
      <c r="BG15" s="444"/>
      <c r="BH15" s="444"/>
      <c r="BI15" s="444"/>
      <c r="BJ15" s="444"/>
      <c r="BK15" s="444"/>
      <c r="BL15" s="444"/>
      <c r="BM15" s="444"/>
      <c r="BN15" s="444"/>
      <c r="BO15" s="444"/>
      <c r="BP15" s="445"/>
      <c r="BQ15" s="443" t="s">
        <v>466</v>
      </c>
      <c r="BR15" s="444"/>
      <c r="BS15" s="444"/>
      <c r="BT15" s="444"/>
      <c r="BU15" s="444"/>
      <c r="BV15" s="444"/>
      <c r="BW15" s="444"/>
      <c r="BX15" s="444"/>
      <c r="BY15" s="444"/>
      <c r="BZ15" s="444"/>
      <c r="CA15" s="444"/>
      <c r="CB15" s="444"/>
      <c r="CC15" s="444"/>
      <c r="CD15" s="445"/>
      <c r="CE15" s="443" t="s">
        <v>21</v>
      </c>
      <c r="CF15" s="444"/>
      <c r="CG15" s="444"/>
      <c r="CH15" s="444"/>
      <c r="CI15" s="444"/>
      <c r="CJ15" s="444"/>
      <c r="CK15" s="444"/>
      <c r="CL15" s="444"/>
      <c r="CM15" s="444"/>
      <c r="CN15" s="444"/>
      <c r="CO15" s="444"/>
      <c r="CP15" s="444"/>
      <c r="CQ15" s="444"/>
      <c r="CR15" s="445"/>
      <c r="CV15" s="263" t="s">
        <v>482</v>
      </c>
      <c r="CW15" s="263"/>
      <c r="CX15" s="446" t="s">
        <v>554</v>
      </c>
      <c r="CY15" s="439"/>
      <c r="CZ15" s="439"/>
      <c r="DA15" s="440"/>
      <c r="DB15" s="438" t="s">
        <v>553</v>
      </c>
      <c r="DC15" s="439"/>
      <c r="DD15" s="439"/>
      <c r="DE15" s="440"/>
      <c r="DF15" s="438" t="s">
        <v>464</v>
      </c>
      <c r="DG15" s="439"/>
      <c r="DH15" s="439"/>
      <c r="DI15" s="440"/>
      <c r="DJ15" s="438" t="s">
        <v>465</v>
      </c>
      <c r="DK15" s="439"/>
      <c r="DL15" s="439"/>
      <c r="DM15" s="440"/>
      <c r="DN15" s="438" t="s">
        <v>466</v>
      </c>
      <c r="DO15" s="439"/>
      <c r="DP15" s="439"/>
      <c r="DQ15" s="440"/>
      <c r="DR15" s="438" t="s">
        <v>21</v>
      </c>
      <c r="DS15" s="439"/>
      <c r="DT15" s="439"/>
      <c r="DU15" s="441"/>
      <c r="DW15" s="278"/>
      <c r="DX15" s="278"/>
      <c r="DY15" s="442" t="s">
        <v>588</v>
      </c>
      <c r="DZ15" s="442"/>
      <c r="EB15" s="278"/>
      <c r="EC15" s="278"/>
      <c r="ED15" s="442" t="s">
        <v>588</v>
      </c>
      <c r="EE15" s="442"/>
      <c r="EI15" t="s">
        <v>599</v>
      </c>
    </row>
    <row r="16" spans="1:158">
      <c r="A16" s="199"/>
      <c r="B16" s="199"/>
      <c r="C16" s="202" t="s">
        <v>463</v>
      </c>
      <c r="D16" s="202" t="s">
        <v>467</v>
      </c>
      <c r="E16" s="202" t="s">
        <v>464</v>
      </c>
      <c r="F16" s="202" t="s">
        <v>465</v>
      </c>
      <c r="G16" s="202" t="s">
        <v>558</v>
      </c>
      <c r="H16" s="202" t="s">
        <v>21</v>
      </c>
      <c r="K16" s="159"/>
      <c r="L16" s="159"/>
      <c r="M16" s="211" t="s">
        <v>472</v>
      </c>
      <c r="N16" s="160" t="s">
        <v>156</v>
      </c>
      <c r="O16" s="160" t="s">
        <v>475</v>
      </c>
      <c r="P16" s="160" t="s">
        <v>476</v>
      </c>
      <c r="Q16" s="160" t="s">
        <v>477</v>
      </c>
      <c r="R16" s="160" t="s">
        <v>478</v>
      </c>
      <c r="S16" s="160" t="s">
        <v>479</v>
      </c>
      <c r="T16" s="160" t="s">
        <v>480</v>
      </c>
      <c r="U16" s="160" t="s">
        <v>449</v>
      </c>
      <c r="V16" s="160" t="s">
        <v>157</v>
      </c>
      <c r="W16" s="160" t="s">
        <v>473</v>
      </c>
      <c r="X16" s="160" t="s">
        <v>474</v>
      </c>
      <c r="Y16" s="160" t="s">
        <v>46</v>
      </c>
      <c r="Z16" s="212" t="s">
        <v>11</v>
      </c>
      <c r="AA16" s="211" t="s">
        <v>472</v>
      </c>
      <c r="AB16" s="160" t="s">
        <v>156</v>
      </c>
      <c r="AC16" s="160" t="s">
        <v>475</v>
      </c>
      <c r="AD16" s="160" t="s">
        <v>476</v>
      </c>
      <c r="AE16" s="160" t="s">
        <v>477</v>
      </c>
      <c r="AF16" s="160" t="s">
        <v>478</v>
      </c>
      <c r="AG16" s="160" t="s">
        <v>479</v>
      </c>
      <c r="AH16" s="160" t="s">
        <v>480</v>
      </c>
      <c r="AI16" s="160" t="s">
        <v>449</v>
      </c>
      <c r="AJ16" s="160" t="s">
        <v>157</v>
      </c>
      <c r="AK16" s="160" t="s">
        <v>473</v>
      </c>
      <c r="AL16" s="160" t="s">
        <v>474</v>
      </c>
      <c r="AM16" s="160" t="s">
        <v>46</v>
      </c>
      <c r="AN16" s="212" t="s">
        <v>11</v>
      </c>
      <c r="AO16" s="211" t="s">
        <v>472</v>
      </c>
      <c r="AP16" s="160" t="s">
        <v>156</v>
      </c>
      <c r="AQ16" s="160" t="s">
        <v>475</v>
      </c>
      <c r="AR16" s="160" t="s">
        <v>476</v>
      </c>
      <c r="AS16" s="160" t="s">
        <v>477</v>
      </c>
      <c r="AT16" s="160" t="s">
        <v>478</v>
      </c>
      <c r="AU16" s="160" t="s">
        <v>479</v>
      </c>
      <c r="AV16" s="160" t="s">
        <v>480</v>
      </c>
      <c r="AW16" s="160" t="s">
        <v>449</v>
      </c>
      <c r="AX16" s="160" t="s">
        <v>157</v>
      </c>
      <c r="AY16" s="160" t="s">
        <v>473</v>
      </c>
      <c r="AZ16" s="160" t="s">
        <v>474</v>
      </c>
      <c r="BA16" s="160" t="s">
        <v>46</v>
      </c>
      <c r="BB16" s="212" t="s">
        <v>11</v>
      </c>
      <c r="BC16" s="211" t="s">
        <v>472</v>
      </c>
      <c r="BD16" s="160" t="s">
        <v>156</v>
      </c>
      <c r="BE16" s="160" t="s">
        <v>475</v>
      </c>
      <c r="BF16" s="160" t="s">
        <v>476</v>
      </c>
      <c r="BG16" s="160" t="s">
        <v>477</v>
      </c>
      <c r="BH16" s="160" t="s">
        <v>478</v>
      </c>
      <c r="BI16" s="160" t="s">
        <v>479</v>
      </c>
      <c r="BJ16" s="160" t="s">
        <v>480</v>
      </c>
      <c r="BK16" s="160" t="s">
        <v>449</v>
      </c>
      <c r="BL16" s="160" t="s">
        <v>157</v>
      </c>
      <c r="BM16" s="160" t="s">
        <v>473</v>
      </c>
      <c r="BN16" s="160" t="s">
        <v>474</v>
      </c>
      <c r="BO16" s="160" t="s">
        <v>46</v>
      </c>
      <c r="BP16" s="212" t="s">
        <v>11</v>
      </c>
      <c r="BQ16" s="211" t="s">
        <v>472</v>
      </c>
      <c r="BR16" s="160" t="s">
        <v>156</v>
      </c>
      <c r="BS16" s="160" t="s">
        <v>475</v>
      </c>
      <c r="BT16" s="160" t="s">
        <v>476</v>
      </c>
      <c r="BU16" s="160" t="s">
        <v>477</v>
      </c>
      <c r="BV16" s="160" t="s">
        <v>478</v>
      </c>
      <c r="BW16" s="160" t="s">
        <v>479</v>
      </c>
      <c r="BX16" s="160" t="s">
        <v>480</v>
      </c>
      <c r="BY16" s="160" t="s">
        <v>449</v>
      </c>
      <c r="BZ16" s="160" t="s">
        <v>157</v>
      </c>
      <c r="CA16" s="160" t="s">
        <v>473</v>
      </c>
      <c r="CB16" s="160" t="s">
        <v>474</v>
      </c>
      <c r="CC16" s="160" t="s">
        <v>46</v>
      </c>
      <c r="CD16" s="212" t="s">
        <v>11</v>
      </c>
      <c r="CE16" s="211" t="s">
        <v>472</v>
      </c>
      <c r="CF16" s="160" t="s">
        <v>156</v>
      </c>
      <c r="CG16" s="160" t="s">
        <v>475</v>
      </c>
      <c r="CH16" s="160" t="s">
        <v>476</v>
      </c>
      <c r="CI16" s="160" t="s">
        <v>477</v>
      </c>
      <c r="CJ16" s="160" t="s">
        <v>478</v>
      </c>
      <c r="CK16" s="160" t="s">
        <v>479</v>
      </c>
      <c r="CL16" s="160" t="s">
        <v>480</v>
      </c>
      <c r="CM16" s="160" t="s">
        <v>449</v>
      </c>
      <c r="CN16" s="160" t="s">
        <v>157</v>
      </c>
      <c r="CO16" s="160" t="s">
        <v>473</v>
      </c>
      <c r="CP16" s="160" t="s">
        <v>474</v>
      </c>
      <c r="CQ16" s="160" t="s">
        <v>46</v>
      </c>
      <c r="CR16" s="212" t="s">
        <v>11</v>
      </c>
      <c r="CV16" s="263"/>
      <c r="CW16" s="263"/>
      <c r="CX16" s="264" t="s">
        <v>156</v>
      </c>
      <c r="CY16" s="264" t="s">
        <v>478</v>
      </c>
      <c r="CZ16" s="264" t="s">
        <v>479</v>
      </c>
      <c r="DA16" s="264" t="s">
        <v>157</v>
      </c>
      <c r="DB16" s="264" t="s">
        <v>156</v>
      </c>
      <c r="DC16" s="264" t="s">
        <v>478</v>
      </c>
      <c r="DD16" s="264" t="s">
        <v>479</v>
      </c>
      <c r="DE16" s="264" t="s">
        <v>157</v>
      </c>
      <c r="DF16" s="264" t="s">
        <v>156</v>
      </c>
      <c r="DG16" s="264" t="s">
        <v>478</v>
      </c>
      <c r="DH16" s="264" t="s">
        <v>479</v>
      </c>
      <c r="DI16" s="264" t="s">
        <v>157</v>
      </c>
      <c r="DJ16" s="264" t="s">
        <v>156</v>
      </c>
      <c r="DK16" s="264" t="s">
        <v>478</v>
      </c>
      <c r="DL16" s="264" t="s">
        <v>479</v>
      </c>
      <c r="DM16" s="264" t="s">
        <v>157</v>
      </c>
      <c r="DN16" s="264" t="s">
        <v>156</v>
      </c>
      <c r="DO16" s="264" t="s">
        <v>478</v>
      </c>
      <c r="DP16" s="264" t="s">
        <v>479</v>
      </c>
      <c r="DQ16" s="264" t="s">
        <v>157</v>
      </c>
      <c r="DR16" s="264" t="s">
        <v>156</v>
      </c>
      <c r="DS16" s="264" t="s">
        <v>478</v>
      </c>
      <c r="DT16" s="264" t="s">
        <v>479</v>
      </c>
      <c r="DU16" s="264" t="s">
        <v>157</v>
      </c>
      <c r="DW16" s="278"/>
      <c r="DX16" s="278"/>
      <c r="DY16" s="280" t="s">
        <v>585</v>
      </c>
      <c r="DZ16" s="280" t="s">
        <v>259</v>
      </c>
      <c r="EB16" s="278"/>
      <c r="EC16" s="278"/>
      <c r="ED16" s="280" t="s">
        <v>585</v>
      </c>
      <c r="EE16" s="280" t="s">
        <v>259</v>
      </c>
      <c r="EL16" s="420" t="s">
        <v>564</v>
      </c>
      <c r="EM16" s="420" t="s">
        <v>565</v>
      </c>
      <c r="EN16" s="420" t="s">
        <v>566</v>
      </c>
      <c r="EO16" s="420" t="s">
        <v>562</v>
      </c>
      <c r="EP16" s="421" t="s">
        <v>597</v>
      </c>
      <c r="EQ16" s="421" t="s">
        <v>585</v>
      </c>
      <c r="ER16" s="421" t="s">
        <v>259</v>
      </c>
      <c r="ES16" s="424" t="s">
        <v>867</v>
      </c>
      <c r="EV16" s="306" t="s">
        <v>564</v>
      </c>
      <c r="EW16" s="306" t="s">
        <v>565</v>
      </c>
      <c r="EX16" s="306" t="s">
        <v>566</v>
      </c>
      <c r="EY16" s="306" t="s">
        <v>562</v>
      </c>
      <c r="EZ16" s="307" t="s">
        <v>597</v>
      </c>
      <c r="FA16" s="307" t="s">
        <v>585</v>
      </c>
      <c r="FB16" s="307" t="s">
        <v>259</v>
      </c>
    </row>
    <row r="17" spans="1:158">
      <c r="A17" s="205"/>
      <c r="B17" s="205" t="s">
        <v>744</v>
      </c>
      <c r="C17" s="400">
        <f>$M$7*KTDB_TripDistribution_2035!L$12 * (1+KTDB_발생량도착량_증가율!$C$8*5) * (1+KTDB_발생량도착량_증가율!$D$7*5) * (1+KTDB_발생량도착량_증가율!$E$7*5)</f>
        <v>704.78894815242893</v>
      </c>
      <c r="D17" s="400">
        <f>$M$7*KTDB_TripDistribution_2035!M$12 * (1+KTDB_발생량도착량_증가율!$C$8*5) * (1+KTDB_발생량도착량_증가율!$D$7*5) * (1+KTDB_발생량도착량_증가율!$E$7*5)</f>
        <v>5480.5328473326927</v>
      </c>
      <c r="E17" s="400">
        <f>$M$7*KTDB_TripDistribution_2035!N$12 * (1+KTDB_발생량도착량_증가율!$C$8*5) * (1+KTDB_발생량도착량_증가율!$D$7*5) * (1+KTDB_발생량도착량_증가율!$E$7*5)</f>
        <v>242.92655363565225</v>
      </c>
      <c r="F17" s="400">
        <f>$M$7*KTDB_TripDistribution_2035!O$12 * (1+KTDB_발생량도착량_증가율!$C$8*5) * (1+KTDB_발생량도착량_증가율!$D$7*5) * (1+KTDB_발생량도착량_증가율!$E$7*5)</f>
        <v>0.65878387426617291</v>
      </c>
      <c r="G17" s="400">
        <f>$M$7*KTDB_TripDistribution_2035!P$12 * (1+KTDB_발생량도착량_증가율!$C$8*5) * (1+KTDB_발생량도착량_증가율!$D$7*5) * (1+KTDB_발생량도착량_증가율!$E$7*5)</f>
        <v>1.8665543104208293</v>
      </c>
      <c r="H17" s="400">
        <f>$M$7*KTDB_TripDistribution_2035!Q$12 * (1+KTDB_발생량도착량_증가율!$C$8*5) * (1+KTDB_발생량도착량_증가율!$D$7*5) * (1+KTDB_발생량도착량_증가율!$E$7*5)</f>
        <v>6430.773687305461</v>
      </c>
      <c r="J17" s="230">
        <f t="shared" ref="J17" si="0">CR17</f>
        <v>6430.773687305461</v>
      </c>
      <c r="K17" s="206"/>
      <c r="L17" s="206" t="s">
        <v>743</v>
      </c>
      <c r="M17" s="206">
        <f>INDEX($A$16:$H$17,MATCH($L17,$B$16:$B$17,0),MATCH($M$15,$A$16:$H$16,0))*고양시_Modal_split!C$3 * 0.01</f>
        <v>1.9734090548268008</v>
      </c>
      <c r="N17" s="206">
        <f>INDEX($A$16:$H$17,MATCH($L17,$B$16:$B$17,0),MATCH($M$15,$A$16:$H$16,0))*고양시_Modal_split!D$3 * 0.01</f>
        <v>331.46224231608738</v>
      </c>
      <c r="O17" s="206">
        <f>INDEX($A$16:$H$17,MATCH($L17,$B$16:$B$17,0),MATCH($M$15,$A$16:$H$16,0))*고양시_Modal_split!E$3 * 0.01</f>
        <v>40.102491149873202</v>
      </c>
      <c r="P17" s="206">
        <f>INDEX($A$16:$H$17,MATCH($L17,$B$16:$B$17,0),MATCH($M$15,$A$16:$H$16,0))*고양시_Modal_split!F$3 * 0.01</f>
        <v>64.62914654557774</v>
      </c>
      <c r="Q17" s="206">
        <f>INDEX($A$16:$H$17,MATCH($L17,$B$16:$B$17,0),MATCH($M$15,$A$16:$H$16,0))*고양시_Modal_split!G$3 * 0.01</f>
        <v>6.4840583230023459</v>
      </c>
      <c r="R17" s="206">
        <f>INDEX($A$16:$H$17,MATCH($L17,$B$16:$B$17,0),MATCH($M$15,$A$16:$H$16,0))*고양시_Modal_split!H$3 * 0.01</f>
        <v>7.0478894815242901E-2</v>
      </c>
      <c r="S17" s="206">
        <f>INDEX($A$16:$H$17,MATCH($L17,$B$16:$B$17,0),MATCH($M$15,$A$16:$H$16,0))*고양시_Modal_split!I$3 * 0.01</f>
        <v>19.593132758637523</v>
      </c>
      <c r="T17" s="206">
        <f>INDEX($A$16:$H$17,MATCH($L17,$B$16:$B$17,0),MATCH($M$15,$A$16:$H$16,0))*고양시_Modal_split!J$3 * 0.01</f>
        <v>214.53775581759939</v>
      </c>
      <c r="U17" s="206">
        <f>INDEX($A$16:$H$17,MATCH($L17,$B$16:$B$17,0),MATCH($M$15,$A$16:$H$16,0))*고양시_Modal_split!K$3 * 0.01</f>
        <v>1.0571834222286434</v>
      </c>
      <c r="V17" s="206">
        <f>INDEX($A$16:$H$17,MATCH($L17,$B$16:$B$17,0),MATCH($M$15,$A$16:$H$16,0))*고양시_Modal_split!L$3 * 0.01</f>
        <v>21.284626234203355</v>
      </c>
      <c r="W17" s="206">
        <f>INDEX($A$16:$H$17,MATCH($L17,$B$16:$B$17,0),MATCH($M$15,$A$16:$H$16,0))*고양시_Modal_split!M$3 * 0.01</f>
        <v>1.6210145807505865</v>
      </c>
      <c r="X17" s="206">
        <f>INDEX($A$16:$H$17,MATCH($L17,$B$16:$B$17,0),MATCH($M$15,$A$16:$H$16,0))*고양시_Modal_split!N$3 * 0.01</f>
        <v>0.70478894815242898</v>
      </c>
      <c r="Y17" s="206">
        <f>INDEX($A$16:$H$17,MATCH($L17,$B$16:$B$17,0),MATCH($M$15,$A$16:$H$16,0))*고양시_Modal_split!O$3 * 0.01</f>
        <v>1.2686201066743721</v>
      </c>
      <c r="Z17" s="209">
        <f>INDEX($A$16:$H$17,MATCH($L17,$B$16:$B$17,0),MATCH($M$15,$A$16:$H$16,0))*고양시_Modal_split!P$3 * 0.01</f>
        <v>704.78894815242893</v>
      </c>
      <c r="AA17" s="206">
        <f>INDEX($A$16:$H$17,MATCH($L17,$B$16:$B$17,0),MATCH($AA$15,$A$16:$H$16,0))*고양시_Modal_split!C$3 * 0.01</f>
        <v>15.345491972531539</v>
      </c>
      <c r="AB17" s="207">
        <f>INDEX($A$16:$H$17,MATCH($L17,$B$16:$B$17,0),MATCH($AA$15,$A$16:$H$16,0))*고양시_Modal_split!D$3 * 0.01</f>
        <v>2577.4945981005653</v>
      </c>
      <c r="AC17" s="207">
        <f>INDEX($A$16:$H$17,MATCH($L17,$B$16:$B$17,0),MATCH($AA$15,$A$16:$H$16,0))*고양시_Modal_split!E$3 * 0.01</f>
        <v>311.84231901323022</v>
      </c>
      <c r="AD17" s="207">
        <f>INDEX($A$16:$H$17,MATCH($L17,$B$16:$B$17,0),MATCH($AA$15,$A$16:$H$16,0))*고양시_Modal_split!F$3 * 0.01</f>
        <v>502.56486210040794</v>
      </c>
      <c r="AE17" s="207">
        <f>INDEX($A$16:$H$17,MATCH($L17,$B$16:$B$17,0),MATCH($AA$15,$A$16:$H$16,0))*고양시_Modal_split!G$3 * 0.01</f>
        <v>50.420902195460769</v>
      </c>
      <c r="AF17" s="207">
        <f>INDEX($A$16:$H$17,MATCH($L17,$B$16:$B$17,0),MATCH($AA$15,$A$16:$H$16,0))*고양시_Modal_split!H$3 * 0.01</f>
        <v>0.54805328473326931</v>
      </c>
      <c r="AG17" s="207">
        <f>INDEX($A$16:$H$17,MATCH($L17,$B$16:$B$17,0),MATCH($AA$15,$A$16:$H$16,0))*고양시_Modal_split!I$3 * 0.01</f>
        <v>152.35881315584885</v>
      </c>
      <c r="AH17" s="207">
        <f>INDEX($A$16:$H$17,MATCH($L17,$B$16:$B$17,0),MATCH($AA$15,$A$16:$H$16,0))*고양시_Modal_split!J$3 * 0.01</f>
        <v>1668.2741987280717</v>
      </c>
      <c r="AI17" s="207">
        <f>INDEX($A$16:$H$17,MATCH($L17,$B$16:$B$17,0),MATCH($AA$15,$A$16:$H$16,0))*고양시_Modal_split!K$3 * 0.01</f>
        <v>8.2207992709990396</v>
      </c>
      <c r="AJ17" s="207">
        <f>INDEX($A$16:$H$17,MATCH($L17,$B$16:$B$17,0),MATCH($AA$15,$A$16:$H$16,0))*고양시_Modal_split!L$3 * 0.01</f>
        <v>165.51209198944733</v>
      </c>
      <c r="AK17" s="207">
        <f>INDEX($A$16:$H$17,MATCH($L17,$B$16:$B$17,0),MATCH($AA$15,$A$16:$H$16,0))*고양시_Modal_split!M$3 * 0.01</f>
        <v>12.605225548865192</v>
      </c>
      <c r="AL17" s="207">
        <f>INDEX($A$16:$H$17,MATCH($L17,$B$16:$B$17,0),MATCH($AA$15,$A$16:$H$16,0))*고양시_Modal_split!N$3 * 0.01</f>
        <v>5.4805328473326931</v>
      </c>
      <c r="AM17" s="207">
        <f>INDEX($A$16:$H$17,MATCH($L17,$B$16:$B$17,0),MATCH($AA$15,$A$16:$H$16,0))*고양시_Modal_split!O$3 * 0.01</f>
        <v>9.8649591251988475</v>
      </c>
      <c r="AN17" s="207">
        <f>INDEX($A$16:$H$17,MATCH($L17,$B$16:$B$17,0),MATCH($AA$15,$A$16:$H$16,0))*고양시_Modal_split!P$3 * 0.01</f>
        <v>5480.5328473326927</v>
      </c>
      <c r="AO17" s="206">
        <f>INDEX($A$16:$H$17,MATCH($L17,$B$16:$B$17,0),MATCH($AO$15,$A$16:$H$16,0))*고양시_Modal_split!C$3 * 0.01</f>
        <v>0.68019435017982632</v>
      </c>
      <c r="AP17" s="303">
        <f>INDEX($A$16:$H$17,MATCH($L17,$B$16:$B$17,0),MATCH($AO$15,$A$16:$H$16,0))*고양시_Modal_split!D$3 * 0.01</f>
        <v>114.24835817484725</v>
      </c>
      <c r="AQ17" s="303">
        <f>INDEX($A$16:$H$17,MATCH($L17,$B$16:$B$17,0),MATCH($AO$15,$A$16:$H$16,0))*고양시_Modal_split!E$3 * 0.01</f>
        <v>13.822520901868611</v>
      </c>
      <c r="AR17" s="303">
        <f>INDEX($A$16:$H$17,MATCH($L17,$B$16:$B$17,0),MATCH($AO$15,$A$16:$H$16,0))*고양시_Modal_split!F$3 * 0.01</f>
        <v>22.276364968389313</v>
      </c>
      <c r="AS17" s="303">
        <f>INDEX($A$16:$H$17,MATCH($L17,$B$16:$B$17,0),MATCH($AO$15,$A$16:$H$16,0))*고양시_Modal_split!G$3 * 0.01</f>
        <v>2.2349242934480005</v>
      </c>
      <c r="AT17" s="303">
        <f>INDEX($A$16:$H$17,MATCH($L17,$B$16:$B$17,0),MATCH($AO$15,$A$16:$H$16,0))*고양시_Modal_split!H$3 * 0.01</f>
        <v>2.429265536356523E-2</v>
      </c>
      <c r="AU17" s="303">
        <f>INDEX($A$16:$H$17,MATCH($L17,$B$16:$B$17,0),MATCH($AO$15,$A$16:$H$16,0))*고양시_Modal_split!I$3 * 0.01</f>
        <v>6.7533581910711327</v>
      </c>
      <c r="AV17" s="303">
        <f>INDEX($A$16:$H$17,MATCH($L17,$B$16:$B$17,0),MATCH($AO$15,$A$16:$H$16,0))*고양시_Modal_split!J$3 * 0.01</f>
        <v>73.946842926692554</v>
      </c>
      <c r="AW17" s="303">
        <f>INDEX($A$16:$H$17,MATCH($L17,$B$16:$B$17,0),MATCH($AO$15,$A$16:$H$16,0))*고양시_Modal_split!K$3 * 0.01</f>
        <v>0.36438983045347839</v>
      </c>
      <c r="AX17" s="303">
        <f>INDEX($A$16:$H$17,MATCH($L17,$B$16:$B$17,0),MATCH($AO$15,$A$16:$H$16,0))*고양시_Modal_split!L$3 * 0.01</f>
        <v>7.3363819197966986</v>
      </c>
      <c r="AY17" s="303">
        <f>INDEX($A$16:$H$17,MATCH($L17,$B$16:$B$17,0),MATCH($AO$15,$A$16:$H$16,0))*고양시_Modal_split!M$3 * 0.01</f>
        <v>0.55873107336200012</v>
      </c>
      <c r="AZ17" s="303">
        <f>INDEX($A$16:$H$17,MATCH($L17,$B$16:$B$17,0),MATCH($AO$15,$A$16:$H$16,0))*고양시_Modal_split!N$3 * 0.01</f>
        <v>0.24292655363565227</v>
      </c>
      <c r="BA17" s="207">
        <f>INDEX($A$16:$H$17,MATCH($L17,$B$16:$B$17,0),MATCH($AO$15,$A$16:$H$16,0))*고양시_Modal_split!O$3 * 0.01</f>
        <v>0.43726779654417408</v>
      </c>
      <c r="BB17" s="207">
        <f>INDEX($A$16:$H$17,MATCH($L17,$B$16:$B$17,0),MATCH($AO$15,$A$16:$H$16,0))*고양시_Modal_split!P$3 * 0.01</f>
        <v>242.92655363565228</v>
      </c>
      <c r="BC17" s="207">
        <f>INDEX($A$16:$H$17,MATCH($L17,$B$16:$B$17,0),MATCH($BC$15,$A$16:$H$16,0))*고양시_Modal_split!C$3 * 0.01</f>
        <v>1.844594847945284E-3</v>
      </c>
      <c r="BD17" s="207">
        <f>INDEX($A$16:$H$17,MATCH($L17,$B$16:$B$17,0),MATCH($BC$15,$A$16:$H$16,0))*고양시_Modal_split!D$3 * 0.01</f>
        <v>0.30982605606738112</v>
      </c>
      <c r="BE17" s="207">
        <f>INDEX($A$16:$H$17,MATCH($L17,$B$16:$B$17,0),MATCH($BC$15,$A$16:$H$16,0))*고양시_Modal_split!E$3 * 0.01</f>
        <v>3.7484802445745237E-2</v>
      </c>
      <c r="BF17" s="207">
        <f>INDEX($A$16:$H$17,MATCH($L17,$B$16:$B$17,0),MATCH($BC$15,$A$16:$H$16,0))*고양시_Modal_split!F$3 * 0.01</f>
        <v>6.0410481270208052E-2</v>
      </c>
      <c r="BG17" s="207">
        <f>INDEX($A$16:$H$17,MATCH($L17,$B$16:$B$17,0),MATCH($BC$15,$A$16:$H$16,0))*고양시_Modal_split!G$3 * 0.01</f>
        <v>6.0608116432487903E-3</v>
      </c>
      <c r="BH17" s="207">
        <f>INDEX($A$16:$H$17,MATCH($L17,$B$16:$B$17,0),MATCH($BC$15,$A$16:$H$16,0))*고양시_Modal_split!H$3 * 0.01</f>
        <v>6.5878387426617299E-5</v>
      </c>
      <c r="BI17" s="207">
        <f>INDEX($A$16:$H$17,MATCH($L17,$B$16:$B$17,0),MATCH($BC$15,$A$16:$H$16,0))*고양시_Modal_split!I$3 * 0.01</f>
        <v>1.8314191704599605E-2</v>
      </c>
      <c r="BJ17" s="207">
        <f>INDEX($A$16:$H$17,MATCH($L17,$B$16:$B$17,0),MATCH($BC$15,$A$16:$H$16,0))*고양시_Modal_split!J$3 * 0.01</f>
        <v>0.20053381132662307</v>
      </c>
      <c r="BK17" s="207">
        <f>INDEX($A$16:$H$17,MATCH($L17,$B$16:$B$17,0),MATCH($BC$15,$A$16:$H$16,0))*고양시_Modal_split!K$3 * 0.01</f>
        <v>9.881758113992594E-4</v>
      </c>
      <c r="BL17" s="207">
        <f>INDEX($A$16:$H$17,MATCH($L17,$B$16:$B$17,0),MATCH($BC$15,$A$16:$H$16,0))*고양시_Modal_split!L$3 * 0.01</f>
        <v>1.9895273002838422E-2</v>
      </c>
      <c r="BM17" s="207">
        <f>INDEX($A$16:$H$17,MATCH($L17,$B$16:$B$17,0),MATCH($BC$15,$A$16:$H$16,0))*고양시_Modal_split!M$3 * 0.01</f>
        <v>1.5152029108121976E-3</v>
      </c>
      <c r="BN17" s="207">
        <f>INDEX($A$16:$H$17,MATCH($L17,$B$16:$B$17,0),MATCH($BC$15,$A$16:$H$16,0))*고양시_Modal_split!N$3 * 0.01</f>
        <v>6.5878387426617294E-4</v>
      </c>
      <c r="BO17" s="207">
        <f>INDEX($A$16:$H$17,MATCH($L17,$B$16:$B$17,0),MATCH($BC$15,$A$16:$H$16,0))*고양시_Modal_split!O$3 * 0.01</f>
        <v>1.1858109736791111E-3</v>
      </c>
      <c r="BP17" s="207">
        <f>INDEX($A$16:$H$17,MATCH($L17,$B$16:$B$17,0),MATCH($BC$15,$A$16:$H$16,0))*고양시_Modal_split!P$3 * 0.01</f>
        <v>0.65878387426617291</v>
      </c>
      <c r="BQ17" s="207">
        <f>INDEX($A$16:$H$17,MATCH($L17,$B$16:$B$17,0),MATCH($BQ$15,$A$16:$H$16,0))*고양시_Modal_split!C$3 * 0.01</f>
        <v>5.226352069178322E-3</v>
      </c>
      <c r="BR17" s="207">
        <f>INDEX($A$16:$H$17,MATCH($L17,$B$16:$B$17,0),MATCH($BQ$15,$A$16:$H$16,0))*고양시_Modal_split!D$3 * 0.01</f>
        <v>0.87784049219091598</v>
      </c>
      <c r="BS17" s="207">
        <f>INDEX($A$16:$H$17,MATCH($L17,$B$16:$B$17,0),MATCH($BQ$15,$A$16:$H$16,0))*고양시_Modal_split!E$3 * 0.01</f>
        <v>0.10620694026294518</v>
      </c>
      <c r="BT17" s="207">
        <f>INDEX($A$16:$H$17,MATCH($L17,$B$16:$B$17,0),MATCH($BQ$15,$A$16:$H$16,0))*고양시_Modal_split!F$3 * 0.01</f>
        <v>0.17116303026559007</v>
      </c>
      <c r="BU17" s="207">
        <f>INDEX($A$16:$H$17,MATCH($L17,$B$16:$B$17,0),MATCH($BQ$15,$A$16:$H$16,0))*고양시_Modal_split!G$3 * 0.01</f>
        <v>1.717229965587163E-2</v>
      </c>
      <c r="BV17" s="207">
        <f>INDEX($A$16:$H$17,MATCH($L17,$B$16:$B$17,0),MATCH($BQ$15,$A$16:$H$16,0))*고양시_Modal_split!H$3 * 0.01</f>
        <v>1.8665543104208295E-4</v>
      </c>
      <c r="BW17" s="207">
        <f>INDEX($A$16:$H$17,MATCH($L17,$B$16:$B$17,0),MATCH($BQ$15,$A$16:$H$16,0))*고양시_Modal_split!I$3 * 0.01</f>
        <v>5.1890209829699052E-2</v>
      </c>
      <c r="BX17" s="207">
        <f>INDEX($A$16:$H$17,MATCH($L17,$B$16:$B$17,0),MATCH($BQ$15,$A$16:$H$16,0))*고양시_Modal_split!J$3 * 0.01</f>
        <v>0.56817913209210047</v>
      </c>
      <c r="BY17" s="207">
        <f>INDEX($A$16:$H$17,MATCH($L17,$B$16:$B$17,0),MATCH($BQ$15,$A$16:$H$16,0))*고양시_Modal_split!K$3 * 0.01</f>
        <v>2.7998314656312441E-3</v>
      </c>
      <c r="BZ17" s="207">
        <f>INDEX($A$16:$H$17,MATCH($L17,$B$16:$B$17,0),MATCH($BQ$15,$A$16:$H$16,0))*고양시_Modal_split!L$3 * 0.01</f>
        <v>5.6369940174709046E-2</v>
      </c>
      <c r="CA17" s="207">
        <f>INDEX($A$16:$H$17,MATCH($L17,$B$16:$B$17,0),MATCH($BQ$15,$A$16:$H$16,0))*고양시_Modal_split!M$3 * 0.01</f>
        <v>4.2930749139679075E-3</v>
      </c>
      <c r="CB17" s="207">
        <f>INDEX($A$16:$H$17,MATCH($L17,$B$16:$B$17,0),MATCH($BQ$15,$A$16:$H$16,0))*고양시_Modal_split!N$3 * 0.01</f>
        <v>1.8665543104208293E-3</v>
      </c>
      <c r="CC17" s="207">
        <f>INDEX($A$16:$H$17,MATCH($L17,$B$16:$B$17,0),MATCH($BQ$15,$A$16:$H$16,0))*고양시_Modal_split!O$3 * 0.01</f>
        <v>3.3597977587574929E-3</v>
      </c>
      <c r="CD17" s="207">
        <f>INDEX($A$16:$H$17,MATCH($L17,$B$16:$B$17,0),MATCH($BQ$15,$A$16:$H$16,0))*고양시_Modal_split!P$3 * 0.01</f>
        <v>1.8665543104208293</v>
      </c>
      <c r="CE17" s="304">
        <f>M17+AA17+AO17+BC17+BQ17</f>
        <v>18.00616632445529</v>
      </c>
      <c r="CF17" s="304">
        <f t="shared" ref="CF17:CR17" si="1">N17+AB17+AP17+BD17+BR17</f>
        <v>3024.3928651397582</v>
      </c>
      <c r="CG17" s="304">
        <f t="shared" si="1"/>
        <v>365.91102280768069</v>
      </c>
      <c r="CH17" s="304">
        <f t="shared" si="1"/>
        <v>589.70194712591081</v>
      </c>
      <c r="CI17" s="304">
        <f t="shared" si="1"/>
        <v>59.163117923210237</v>
      </c>
      <c r="CJ17" s="304">
        <f t="shared" si="1"/>
        <v>0.64307736873054633</v>
      </c>
      <c r="CK17" s="304">
        <f t="shared" si="1"/>
        <v>178.77550850709181</v>
      </c>
      <c r="CL17" s="304">
        <f t="shared" si="1"/>
        <v>1957.5275104157824</v>
      </c>
      <c r="CM17" s="304">
        <f t="shared" si="1"/>
        <v>9.6461605309581913</v>
      </c>
      <c r="CN17" s="304">
        <f t="shared" si="1"/>
        <v>194.20936535662494</v>
      </c>
      <c r="CO17" s="304">
        <f t="shared" si="1"/>
        <v>14.790779480802559</v>
      </c>
      <c r="CP17" s="304">
        <f t="shared" si="1"/>
        <v>6.4307736873054626</v>
      </c>
      <c r="CQ17" s="304">
        <f t="shared" si="1"/>
        <v>11.575392637149832</v>
      </c>
      <c r="CR17" s="304">
        <f t="shared" si="1"/>
        <v>6430.773687305461</v>
      </c>
      <c r="CS17" s="305">
        <f>H17-CR17</f>
        <v>0</v>
      </c>
      <c r="CV17" s="265"/>
      <c r="CW17" s="265" t="s">
        <v>743</v>
      </c>
      <c r="CX17" s="267">
        <f>INDEX($M$15:$Z$17,MATCH($CW17,$L$15:$L$17,0),MATCH(CX$16,$M$16:$Z$16,0))/INDEX(고양시_재차인원!$D$4:$H$35,MATCH("고양시",고양시_재차인원!$B$4:$B$35,0),MATCH($CX$15,고양시_재차인원!$D$4:$H$4,0))</f>
        <v>295.94843063936372</v>
      </c>
      <c r="CY17" s="267">
        <f>INDEX($M$15:$Z$17,MATCH($CW17,$L$15:$L$17,0),MATCH(CY$16,$M$16:$Z$16,0))/INDEX(고양시_재차인원!$K$4:$O$20,MATCH("경기도",고양시_재차인원!$K$4:$K$20,0),MATCH(CY$16,고양시_재차인원!$K$4:$O$4,0))</f>
        <v>2.4480338595082632E-3</v>
      </c>
      <c r="CZ17" s="267">
        <f>INDEX($M$15:$Z$17,MATCH($CW17,$L$15:$L$17,0),MATCH(CZ$16,$M$16:$Z$16,0))/INDEX(고양시_재차인원!$K$4:$O$20,MATCH("경기도",고양시_재차인원!$K$4:$K$20,0),MATCH(CZ$16,고양시_재차인원!$K$4:$O$4,0))</f>
        <v>0.68055341294329708</v>
      </c>
      <c r="DA17" s="267">
        <f>INDEX($M$15:$Z$17,MATCH($CW17,$L$15:$L$17,0),MATCH(DA$16,$M$16:$Z$16,0))/INDEX(고양시_재차인원!$D$4:$H$35,MATCH("고양시",고양시_재차인원!$B$4:$B$35,0),MATCH($CX$15,고양시_재차인원!$D$4:$H$4,0))</f>
        <v>19.004130566252993</v>
      </c>
      <c r="DB17" s="267">
        <f>INDEX($AA$15:$AN$17,MATCH($CW17,$L$15:$L$17,0),MATCH(DB$16,$AA$16:$AN$16,0))/INDEX(고양시_재차인원!$D$4:$H$35,MATCH("고양시",고양시_재차인원!$B$4:$B$35,0),MATCH($DB$15,고양시_재차인원!$D$4:$H$4,0))</f>
        <v>1828.0103532628125</v>
      </c>
      <c r="DC17" s="267">
        <f>INDEX($AA$15:$AN$17,MATCH($CW17,$L$15:$L$17,0),MATCH(DC$16,$AA$16:$AN$16,0))/INDEX(고양시_재차인원!$K$4:$O$20,MATCH("경기도",고양시_재차인원!$K$4:$K$20,0),MATCH(DC$16,고양시_재차인원!$K$4:$O$4,0))</f>
        <v>1.9036237746900636E-2</v>
      </c>
      <c r="DD17" s="267">
        <f>INDEX($AA$15:$AN$17,MATCH($CW17,$L$15:$L$17,0),MATCH(DD$16,$AA$16:$AN$16,0))/INDEX(고양시_재차인원!$K$4:$O$20,MATCH("경기도",고양시_재차인원!$K$4:$K$20,0),MATCH(DD$16,고양시_재차인원!$K$4:$O$4,0))</f>
        <v>5.2920740936383766</v>
      </c>
      <c r="DE17" s="267">
        <f>INDEX($AA$15:$AN$17,MATCH($CW17,$L$15:$L$17,0),MATCH(DE$16,$AA$16:$AN$16,0))/INDEX(고양시_재차인원!$D$4:$H$35,MATCH("고양시",고양시_재차인원!$B$4:$B$35,0),MATCH($DB$15,고양시_재차인원!$D$4:$H$4,0))</f>
        <v>117.38446240386335</v>
      </c>
      <c r="DF17" s="267">
        <f>INDEX($AO$15:$BB$17,MATCH($CW17,$L$15:$L$17,0),MATCH(DF$16,$AO$16:$BB$16,0))/INDEX(고양시_재차인원!$D$4:$H$35,MATCH("고양시",고양시_재차인원!$B$4:$B$35,0),MATCH($DF$15,고양시_재차인원!$D$4:$H$4,0))</f>
        <v>87.883352442190187</v>
      </c>
      <c r="DG17" s="267">
        <f>INDEX($AO$15:$BB$17,MATCH($CW17,$L$15:$L$17,0),MATCH(DG$16,$AO$16:$BB$16,0))/INDEX(고양시_재차인원!$K$4:$O$20,MATCH("경기도",고양시_재차인원!$K$4:$K$20,0),MATCH(DG$16,고양시_재차인원!$K$4:$O$4,0))</f>
        <v>8.437879598320677E-4</v>
      </c>
      <c r="DH17" s="267">
        <f>INDEX($AO$15:$BB$17,MATCH($CW17,$L$15:$L$17,0),MATCH(DH$16,$AO$16:$BB$16,0))/INDEX(고양시_재차인원!$K$4:$O$20,MATCH("경기도",고양시_재차인원!$K$4:$K$20,0),MATCH(DH$16,고양시_재차인원!$K$4:$O$4,0))</f>
        <v>0.23457305283331478</v>
      </c>
      <c r="DI17" s="267">
        <f>INDEX($AO$15:$BB$17,MATCH($CW17,$L$15:$L$17,0),MATCH(DI$16,$AO$16:$BB$16,0))/INDEX(고양시_재차인원!$D$4:$H$35,MATCH("고양시",고양시_재차인원!$B$4:$B$35,0),MATCH($DF$15,고양시_재차인원!$D$4:$H$4,0))</f>
        <v>5.6433707075359214</v>
      </c>
      <c r="DJ17" s="267">
        <f>INDEX($BC$15:$BP$17,MATCH($CW17,$L$15:$L$17,0),MATCH(DJ$16,$BC$16:$BP$16,0))/INDEX(고양시_재차인원!$D$4:$H$35,MATCH("고양시",고양시_재차인원!$B$4:$B$35,0),MATCH($DJ$15,고양시_재차인원!$D$4:$H$4,0))</f>
        <v>0.22781327652013317</v>
      </c>
      <c r="DK17" s="267">
        <f>INDEX($BC$15:$BP$17,MATCH($CW17,$L$15:$L$17,0),MATCH(DK$16,$BC$16:$BP$16,0))/INDEX(고양시_재차인원!$K$4:$O$20,MATCH("경기도",고양시_재차인원!$K$4:$K$20,0),MATCH(DK$16,고양시_재차인원!$K$4:$O$4,0))</f>
        <v>2.2882385351378013E-6</v>
      </c>
      <c r="DL17" s="267">
        <f>INDEX($BC$15:$BP$17,MATCH($CW17,$L$15:$L$17,0),MATCH(DL$16,$BC$16:$BP$16,0))/INDEX(고양시_재차인원!$K$4:$O$20,MATCH("경기도",고양시_재차인원!$K$4:$K$20,0),MATCH(DL$16,고양시_재차인원!$K$4:$O$4,0))</f>
        <v>6.3613031276830859E-4</v>
      </c>
      <c r="DM17" s="267">
        <f>INDEX($BC$15:$BP$17,MATCH($CW17,$L$15:$L$17,0),MATCH(DM$16,$BC$16:$BP$16,0))/INDEX(고양시_재차인원!$D$4:$H$35,MATCH("고양시",고양시_재차인원!$B$4:$B$35,0),MATCH($DJ$15,고양시_재차인원!$D$4:$H$4,0))</f>
        <v>1.4628877207969427E-2</v>
      </c>
      <c r="DN17" s="267">
        <f>INDEX($BQ$15:$CD$17,MATCH($CW17,$L$15:$L$17,0),MATCH(DN$16,$BQ$16:$CD$16,0))/INDEX(고양시_재차인원!$D$4:$H$35,MATCH("고양시",고양시_재차인원!$B$4:$B$35,0),MATCH($DN$15,고양시_재차인원!$D$4:$H$4,0))</f>
        <v>0.69669880332612377</v>
      </c>
      <c r="DO17" s="267">
        <f>INDEX($BQ$15:$CD$17,MATCH($CW17,$L$15:$L$17,0),MATCH(DO$16,$BQ$16:$CD$16,0))/INDEX(고양시_재차인원!$K$4:$O$20,MATCH("경기도",고양시_재차인원!$K$4:$K$20,0),MATCH(DO$16,고양시_재차인원!$K$4:$O$4,0))</f>
        <v>6.4833425162237911E-6</v>
      </c>
      <c r="DP17" s="267">
        <f>INDEX($BQ$15:$CD$17,MATCH($CW17,$L$15:$L$17,0),MATCH(DP$16,$BQ$16:$CD$16,0))/INDEX(고양시_재차인원!$K$4:$O$20,MATCH("경기도",고양시_재차인원!$K$4:$K$20,0),MATCH(DP$16,고양시_재차인원!$K$4:$O$4,0))</f>
        <v>1.8023692195102137E-3</v>
      </c>
      <c r="DQ17" s="267">
        <f>INDEX($BQ$15:$CD$17,MATCH($CW17,$L$15:$L$17,0),MATCH(DQ$16,$BQ$16:$CD$16,0))/INDEX(고양시_재차인원!$D$4:$H$35,MATCH("고양시",고양시_재차인원!$B$4:$B$35,0),MATCH($DN$15,고양시_재차인원!$D$4:$H$4,0))</f>
        <v>4.4738047757705589E-2</v>
      </c>
      <c r="DR17" s="270">
        <f>CX17+DB17+DF17+DJ17+DN17</f>
        <v>2212.7666484242122</v>
      </c>
      <c r="DS17" s="270">
        <f t="shared" ref="DS17:DU17" si="2">CY17+DC17+DG17+DK17+DO17</f>
        <v>2.2336831147292329E-2</v>
      </c>
      <c r="DT17" s="270">
        <f t="shared" si="2"/>
        <v>6.2096390589472676</v>
      </c>
      <c r="DU17" s="270">
        <f t="shared" si="2"/>
        <v>142.09133060261794</v>
      </c>
      <c r="DW17" s="278"/>
      <c r="DX17" s="278" t="s">
        <v>743</v>
      </c>
      <c r="DY17" s="281">
        <f>DR17+DU17</f>
        <v>2354.85797902683</v>
      </c>
      <c r="DZ17" s="281">
        <f>DS17+DT17</f>
        <v>6.2319758900945601</v>
      </c>
      <c r="EB17" s="278"/>
      <c r="EC17" s="278" t="s">
        <v>743</v>
      </c>
      <c r="ED17" s="281">
        <f>DY17</f>
        <v>2354.85797902683</v>
      </c>
      <c r="EE17" s="281">
        <f t="shared" ref="EE17" si="3">DZ17</f>
        <v>6.2319758900945601</v>
      </c>
      <c r="EL17" s="420" t="s">
        <v>728</v>
      </c>
      <c r="EM17" s="420"/>
      <c r="EN17" s="420"/>
      <c r="EO17" s="420"/>
      <c r="EP17" s="421">
        <v>849301</v>
      </c>
      <c r="EQ17" s="422">
        <f>ED24</f>
        <v>2354.85797902683</v>
      </c>
      <c r="ER17" s="422">
        <f>EE24</f>
        <v>6.2319758900945601</v>
      </c>
      <c r="ES17">
        <v>0</v>
      </c>
      <c r="EV17" s="306" t="s">
        <v>728</v>
      </c>
      <c r="EW17" s="306"/>
      <c r="EX17" s="306"/>
      <c r="EY17" s="306"/>
      <c r="EZ17" s="307">
        <v>849301</v>
      </c>
      <c r="FA17" s="308">
        <f>EQ17*$EU$10</f>
        <v>2354.85797902683</v>
      </c>
      <c r="FB17" s="308">
        <f t="shared" ref="FB17" si="4">ER17*$EU$10</f>
        <v>6.2319758900945601</v>
      </c>
    </row>
    <row r="18" spans="1:158">
      <c r="A18" s="205"/>
      <c r="B18" s="205"/>
      <c r="C18" s="201"/>
      <c r="D18" s="201"/>
      <c r="E18" s="201"/>
      <c r="F18" s="201"/>
      <c r="G18" s="201"/>
      <c r="H18" s="201"/>
      <c r="J18" s="230"/>
      <c r="K18" s="206"/>
      <c r="L18" s="206"/>
      <c r="M18" s="206"/>
      <c r="N18" s="206"/>
      <c r="O18" s="206"/>
      <c r="P18" s="206"/>
      <c r="Q18" s="206"/>
      <c r="R18" s="206"/>
      <c r="S18" s="206"/>
      <c r="T18" s="206"/>
      <c r="U18" s="206"/>
      <c r="V18" s="206"/>
      <c r="W18" s="206"/>
      <c r="X18" s="206"/>
      <c r="Y18" s="206"/>
      <c r="Z18" s="209"/>
      <c r="AA18" s="207"/>
      <c r="AB18" s="207"/>
      <c r="AC18" s="207"/>
      <c r="AD18" s="207"/>
      <c r="AE18" s="207"/>
      <c r="AF18" s="207"/>
      <c r="AG18" s="207"/>
      <c r="AH18" s="207"/>
      <c r="AI18" s="207"/>
      <c r="AJ18" s="207"/>
      <c r="AK18" s="207"/>
      <c r="AL18" s="207"/>
      <c r="AM18" s="207"/>
      <c r="AN18" s="207"/>
      <c r="AO18" s="303"/>
      <c r="AP18" s="303"/>
      <c r="AQ18" s="303"/>
      <c r="AR18" s="303"/>
      <c r="AS18" s="303"/>
      <c r="AT18" s="303"/>
      <c r="AU18" s="303"/>
      <c r="AV18" s="303"/>
      <c r="AW18" s="303"/>
      <c r="AX18" s="303"/>
      <c r="AY18" s="303"/>
      <c r="AZ18" s="303"/>
      <c r="BA18" s="207"/>
      <c r="BB18" s="207"/>
      <c r="BC18" s="207"/>
      <c r="BD18" s="207"/>
      <c r="BE18" s="207"/>
      <c r="BF18" s="207"/>
      <c r="BG18" s="207"/>
      <c r="BH18" s="207"/>
      <c r="BI18" s="207"/>
      <c r="BJ18" s="207"/>
      <c r="BK18" s="207"/>
      <c r="BL18" s="207"/>
      <c r="BM18" s="207"/>
      <c r="BN18" s="207"/>
      <c r="BO18" s="207"/>
      <c r="BP18" s="207"/>
      <c r="BQ18" s="207"/>
      <c r="BR18" s="207"/>
      <c r="BS18" s="207"/>
      <c r="BT18" s="207"/>
      <c r="BU18" s="207"/>
      <c r="BV18" s="207"/>
      <c r="BW18" s="207"/>
      <c r="BX18" s="207"/>
      <c r="BY18" s="207"/>
      <c r="BZ18" s="207"/>
      <c r="CA18" s="207"/>
      <c r="CB18" s="207"/>
      <c r="CC18" s="207"/>
      <c r="CD18" s="207"/>
      <c r="CE18" s="304"/>
      <c r="CF18" s="304"/>
      <c r="CG18" s="304"/>
      <c r="CH18" s="304"/>
      <c r="CI18" s="304"/>
      <c r="CJ18" s="304"/>
      <c r="CK18" s="304"/>
      <c r="CL18" s="304"/>
      <c r="CM18" s="304"/>
      <c r="CN18" s="304"/>
      <c r="CO18" s="304"/>
      <c r="CP18" s="304"/>
      <c r="CQ18" s="304"/>
      <c r="CR18" s="304"/>
      <c r="CS18" s="305"/>
      <c r="CV18" s="265"/>
      <c r="CW18" s="265"/>
      <c r="CX18" s="267"/>
      <c r="CY18" s="267"/>
      <c r="CZ18" s="267"/>
      <c r="DA18" s="267"/>
      <c r="DB18" s="267"/>
      <c r="DC18" s="267"/>
      <c r="DD18" s="267"/>
      <c r="DE18" s="267"/>
      <c r="DF18" s="267"/>
      <c r="DG18" s="267"/>
      <c r="DH18" s="267"/>
      <c r="DI18" s="267"/>
      <c r="DJ18" s="267"/>
      <c r="DK18" s="267"/>
      <c r="DL18" s="267"/>
      <c r="DM18" s="267"/>
      <c r="DN18" s="267"/>
      <c r="DO18" s="267"/>
      <c r="DP18" s="267"/>
      <c r="DQ18" s="267"/>
      <c r="DR18" s="270"/>
      <c r="DS18" s="270"/>
      <c r="DT18" s="270"/>
      <c r="DU18" s="270"/>
      <c r="DW18" s="278"/>
      <c r="DX18" s="278"/>
      <c r="DY18" s="281"/>
      <c r="DZ18" s="281"/>
      <c r="EB18" s="278"/>
      <c r="EC18" s="278"/>
      <c r="ED18" s="281"/>
      <c r="EE18" s="281"/>
    </row>
    <row r="19" spans="1:158">
      <c r="A19" s="205"/>
      <c r="B19" s="205"/>
      <c r="C19" s="201"/>
      <c r="D19" s="201"/>
      <c r="E19" s="201"/>
      <c r="F19" s="201"/>
      <c r="G19" s="201"/>
      <c r="H19" s="201"/>
      <c r="J19" s="230"/>
      <c r="K19" s="206"/>
      <c r="L19" s="206"/>
      <c r="M19" s="206"/>
      <c r="N19" s="206"/>
      <c r="O19" s="206"/>
      <c r="P19" s="206"/>
      <c r="Q19" s="206"/>
      <c r="R19" s="206"/>
      <c r="S19" s="206"/>
      <c r="T19" s="206"/>
      <c r="U19" s="206"/>
      <c r="V19" s="206"/>
      <c r="W19" s="206"/>
      <c r="X19" s="206"/>
      <c r="Y19" s="206"/>
      <c r="Z19" s="209"/>
      <c r="AA19" s="207"/>
      <c r="AB19" s="207"/>
      <c r="AC19" s="207"/>
      <c r="AD19" s="207"/>
      <c r="AE19" s="207"/>
      <c r="AF19" s="207"/>
      <c r="AG19" s="207"/>
      <c r="AH19" s="207"/>
      <c r="AI19" s="207"/>
      <c r="AJ19" s="207"/>
      <c r="AK19" s="207"/>
      <c r="AL19" s="207"/>
      <c r="AM19" s="207"/>
      <c r="AN19" s="207"/>
      <c r="AO19" s="303"/>
      <c r="AP19" s="303"/>
      <c r="AQ19" s="303"/>
      <c r="AR19" s="303"/>
      <c r="AS19" s="303"/>
      <c r="AT19" s="303"/>
      <c r="AU19" s="303"/>
      <c r="AV19" s="303"/>
      <c r="AW19" s="303"/>
      <c r="AX19" s="303"/>
      <c r="AY19" s="303"/>
      <c r="AZ19" s="303"/>
      <c r="BA19" s="207"/>
      <c r="BB19" s="207"/>
      <c r="BC19" s="207"/>
      <c r="BD19" s="207"/>
      <c r="BE19" s="207"/>
      <c r="BF19" s="207"/>
      <c r="BG19" s="207"/>
      <c r="BH19" s="207"/>
      <c r="BI19" s="207"/>
      <c r="BJ19" s="207"/>
      <c r="BK19" s="207"/>
      <c r="BL19" s="207"/>
      <c r="BM19" s="207"/>
      <c r="BN19" s="207"/>
      <c r="BO19" s="207"/>
      <c r="BP19" s="207"/>
      <c r="BQ19" s="207"/>
      <c r="BR19" s="207"/>
      <c r="BS19" s="207"/>
      <c r="BT19" s="207"/>
      <c r="BU19" s="207"/>
      <c r="BV19" s="207"/>
      <c r="BW19" s="207"/>
      <c r="BX19" s="207"/>
      <c r="BY19" s="207"/>
      <c r="BZ19" s="207"/>
      <c r="CA19" s="207"/>
      <c r="CB19" s="207"/>
      <c r="CC19" s="207"/>
      <c r="CD19" s="207"/>
      <c r="CE19" s="304"/>
      <c r="CF19" s="304"/>
      <c r="CG19" s="304"/>
      <c r="CH19" s="304"/>
      <c r="CI19" s="304"/>
      <c r="CJ19" s="304"/>
      <c r="CK19" s="304"/>
      <c r="CL19" s="304"/>
      <c r="CM19" s="304"/>
      <c r="CN19" s="304"/>
      <c r="CO19" s="304"/>
      <c r="CP19" s="304"/>
      <c r="CQ19" s="304"/>
      <c r="CR19" s="304"/>
      <c r="CS19" s="305"/>
      <c r="CV19" s="265"/>
      <c r="CW19" s="265"/>
      <c r="CX19" s="267"/>
      <c r="CY19" s="267"/>
      <c r="CZ19" s="267"/>
      <c r="DA19" s="267"/>
      <c r="DB19" s="267"/>
      <c r="DC19" s="267"/>
      <c r="DD19" s="267"/>
      <c r="DE19" s="267"/>
      <c r="DF19" s="267"/>
      <c r="DG19" s="267"/>
      <c r="DH19" s="267"/>
      <c r="DI19" s="267"/>
      <c r="DJ19" s="267"/>
      <c r="DK19" s="267"/>
      <c r="DL19" s="267"/>
      <c r="DM19" s="267"/>
      <c r="DN19" s="267"/>
      <c r="DO19" s="267"/>
      <c r="DP19" s="267"/>
      <c r="DQ19" s="267"/>
      <c r="DR19" s="270"/>
      <c r="DS19" s="270"/>
      <c r="DT19" s="270"/>
      <c r="DU19" s="270"/>
      <c r="DW19" s="278"/>
      <c r="DX19" s="278"/>
      <c r="DY19" s="281"/>
      <c r="DZ19" s="281"/>
      <c r="EB19" s="278"/>
      <c r="EC19" s="278"/>
      <c r="ED19" s="281"/>
      <c r="EE19" s="281"/>
    </row>
    <row r="20" spans="1:158">
      <c r="A20" s="205"/>
      <c r="B20" s="205"/>
      <c r="C20" s="201"/>
      <c r="D20" s="201"/>
      <c r="E20" s="201"/>
      <c r="F20" s="201"/>
      <c r="G20" s="201"/>
      <c r="H20" s="201"/>
      <c r="J20" s="230"/>
      <c r="K20" s="206"/>
      <c r="L20" s="206"/>
      <c r="M20" s="206"/>
      <c r="N20" s="206"/>
      <c r="O20" s="206"/>
      <c r="P20" s="206"/>
      <c r="Q20" s="206"/>
      <c r="R20" s="206"/>
      <c r="S20" s="206"/>
      <c r="T20" s="206"/>
      <c r="U20" s="206"/>
      <c r="V20" s="206"/>
      <c r="W20" s="206"/>
      <c r="X20" s="206"/>
      <c r="Y20" s="206"/>
      <c r="Z20" s="209"/>
      <c r="AA20" s="207"/>
      <c r="AB20" s="207"/>
      <c r="AC20" s="207"/>
      <c r="AD20" s="207"/>
      <c r="AE20" s="207"/>
      <c r="AF20" s="207"/>
      <c r="AG20" s="207"/>
      <c r="AH20" s="207"/>
      <c r="AI20" s="207"/>
      <c r="AJ20" s="207"/>
      <c r="AK20" s="207"/>
      <c r="AL20" s="207"/>
      <c r="AM20" s="207"/>
      <c r="AN20" s="207"/>
      <c r="AO20" s="303"/>
      <c r="AP20" s="303"/>
      <c r="AQ20" s="303"/>
      <c r="AR20" s="303"/>
      <c r="AS20" s="303"/>
      <c r="AT20" s="303"/>
      <c r="AU20" s="303"/>
      <c r="AV20" s="303"/>
      <c r="AW20" s="303"/>
      <c r="AX20" s="303"/>
      <c r="AY20" s="303"/>
      <c r="AZ20" s="303"/>
      <c r="BA20" s="207"/>
      <c r="BB20" s="207"/>
      <c r="BC20" s="207"/>
      <c r="BD20" s="207"/>
      <c r="BE20" s="207"/>
      <c r="BF20" s="207"/>
      <c r="BG20" s="207"/>
      <c r="BH20" s="207"/>
      <c r="BI20" s="207"/>
      <c r="BJ20" s="207"/>
      <c r="BK20" s="207"/>
      <c r="BL20" s="207"/>
      <c r="BM20" s="207"/>
      <c r="BN20" s="207"/>
      <c r="BO20" s="207"/>
      <c r="BP20" s="207"/>
      <c r="BQ20" s="207"/>
      <c r="BR20" s="207"/>
      <c r="BS20" s="207"/>
      <c r="BT20" s="207"/>
      <c r="BU20" s="207"/>
      <c r="BV20" s="207"/>
      <c r="BW20" s="207"/>
      <c r="BX20" s="207"/>
      <c r="BY20" s="207"/>
      <c r="BZ20" s="207"/>
      <c r="CA20" s="207"/>
      <c r="CB20" s="207"/>
      <c r="CC20" s="207"/>
      <c r="CD20" s="207"/>
      <c r="CE20" s="304"/>
      <c r="CF20" s="304"/>
      <c r="CG20" s="304"/>
      <c r="CH20" s="304"/>
      <c r="CI20" s="304"/>
      <c r="CJ20" s="304"/>
      <c r="CK20" s="304"/>
      <c r="CL20" s="304"/>
      <c r="CM20" s="304"/>
      <c r="CN20" s="304"/>
      <c r="CO20" s="304"/>
      <c r="CP20" s="304"/>
      <c r="CQ20" s="304"/>
      <c r="CR20" s="304"/>
      <c r="CS20" s="305"/>
      <c r="CV20" s="265"/>
      <c r="CW20" s="265"/>
      <c r="CX20" s="267"/>
      <c r="CY20" s="267"/>
      <c r="CZ20" s="267"/>
      <c r="DA20" s="267"/>
      <c r="DB20" s="267"/>
      <c r="DC20" s="267"/>
      <c r="DD20" s="267"/>
      <c r="DE20" s="267"/>
      <c r="DF20" s="267"/>
      <c r="DG20" s="267"/>
      <c r="DH20" s="267"/>
      <c r="DI20" s="267"/>
      <c r="DJ20" s="267"/>
      <c r="DK20" s="267"/>
      <c r="DL20" s="267"/>
      <c r="DM20" s="267"/>
      <c r="DN20" s="267"/>
      <c r="DO20" s="267"/>
      <c r="DP20" s="267"/>
      <c r="DQ20" s="267"/>
      <c r="DR20" s="270"/>
      <c r="DS20" s="270"/>
      <c r="DT20" s="270"/>
      <c r="DU20" s="270"/>
      <c r="DW20" s="278"/>
      <c r="DX20" s="278"/>
      <c r="DY20" s="281"/>
      <c r="DZ20" s="281"/>
      <c r="EB20" s="278"/>
      <c r="EC20" s="278"/>
      <c r="ED20" s="281"/>
      <c r="EE20" s="281"/>
    </row>
    <row r="21" spans="1:158">
      <c r="A21" s="205"/>
      <c r="B21" s="205"/>
      <c r="C21" s="201"/>
      <c r="D21" s="201"/>
      <c r="E21" s="201"/>
      <c r="F21" s="201"/>
      <c r="G21" s="201"/>
      <c r="H21" s="201"/>
      <c r="J21" s="230"/>
      <c r="K21" s="206"/>
      <c r="L21" s="206"/>
      <c r="M21" s="206"/>
      <c r="N21" s="206"/>
      <c r="O21" s="206"/>
      <c r="P21" s="206"/>
      <c r="Q21" s="206"/>
      <c r="R21" s="206"/>
      <c r="S21" s="206"/>
      <c r="T21" s="206"/>
      <c r="U21" s="206"/>
      <c r="V21" s="206"/>
      <c r="W21" s="206"/>
      <c r="X21" s="206"/>
      <c r="Y21" s="206"/>
      <c r="Z21" s="209"/>
      <c r="AA21" s="207"/>
      <c r="AB21" s="207"/>
      <c r="AC21" s="207"/>
      <c r="AD21" s="207"/>
      <c r="AE21" s="207"/>
      <c r="AF21" s="207"/>
      <c r="AG21" s="207"/>
      <c r="AH21" s="207"/>
      <c r="AI21" s="207"/>
      <c r="AJ21" s="207"/>
      <c r="AK21" s="207"/>
      <c r="AL21" s="207"/>
      <c r="AM21" s="207"/>
      <c r="AN21" s="207"/>
      <c r="AO21" s="303"/>
      <c r="AP21" s="303"/>
      <c r="AQ21" s="303"/>
      <c r="AR21" s="303"/>
      <c r="AS21" s="303"/>
      <c r="AT21" s="303"/>
      <c r="AU21" s="303"/>
      <c r="AV21" s="303"/>
      <c r="AW21" s="303"/>
      <c r="AX21" s="303"/>
      <c r="AY21" s="303"/>
      <c r="AZ21" s="303"/>
      <c r="BA21" s="207"/>
      <c r="BB21" s="207"/>
      <c r="BC21" s="207"/>
      <c r="BD21" s="207"/>
      <c r="BE21" s="207"/>
      <c r="BF21" s="207"/>
      <c r="BG21" s="207"/>
      <c r="BH21" s="207"/>
      <c r="BI21" s="207"/>
      <c r="BJ21" s="207"/>
      <c r="BK21" s="207"/>
      <c r="BL21" s="207"/>
      <c r="BM21" s="207"/>
      <c r="BN21" s="207"/>
      <c r="BO21" s="207"/>
      <c r="BP21" s="207"/>
      <c r="BQ21" s="207"/>
      <c r="BR21" s="207"/>
      <c r="BS21" s="207"/>
      <c r="BT21" s="207"/>
      <c r="BU21" s="207"/>
      <c r="BV21" s="207"/>
      <c r="BW21" s="207"/>
      <c r="BX21" s="207"/>
      <c r="BY21" s="207"/>
      <c r="BZ21" s="207"/>
      <c r="CA21" s="207"/>
      <c r="CB21" s="207"/>
      <c r="CC21" s="207"/>
      <c r="CD21" s="207"/>
      <c r="CE21" s="304"/>
      <c r="CF21" s="304"/>
      <c r="CG21" s="304"/>
      <c r="CH21" s="304"/>
      <c r="CI21" s="304"/>
      <c r="CJ21" s="304"/>
      <c r="CK21" s="304"/>
      <c r="CL21" s="304"/>
      <c r="CM21" s="304"/>
      <c r="CN21" s="304"/>
      <c r="CO21" s="304"/>
      <c r="CP21" s="304"/>
      <c r="CQ21" s="304"/>
      <c r="CR21" s="304"/>
      <c r="CS21" s="305"/>
      <c r="CV21" s="265"/>
      <c r="CW21" s="265"/>
      <c r="CX21" s="267"/>
      <c r="CY21" s="267"/>
      <c r="CZ21" s="267"/>
      <c r="DA21" s="267"/>
      <c r="DB21" s="267"/>
      <c r="DC21" s="267"/>
      <c r="DD21" s="267"/>
      <c r="DE21" s="267"/>
      <c r="DF21" s="267"/>
      <c r="DG21" s="267"/>
      <c r="DH21" s="267"/>
      <c r="DI21" s="267"/>
      <c r="DJ21" s="267"/>
      <c r="DK21" s="267"/>
      <c r="DL21" s="267"/>
      <c r="DM21" s="267"/>
      <c r="DN21" s="267"/>
      <c r="DO21" s="267"/>
      <c r="DP21" s="267"/>
      <c r="DQ21" s="267"/>
      <c r="DR21" s="270"/>
      <c r="DS21" s="270"/>
      <c r="DT21" s="270"/>
      <c r="DU21" s="270"/>
      <c r="DW21" s="278"/>
      <c r="DX21" s="278"/>
      <c r="DY21" s="281"/>
      <c r="DZ21" s="281"/>
      <c r="EB21" s="278"/>
      <c r="EC21" s="278"/>
      <c r="ED21" s="281"/>
      <c r="EE21" s="281"/>
    </row>
    <row r="22" spans="1:158">
      <c r="A22" s="205"/>
      <c r="B22" s="205"/>
      <c r="C22" s="201"/>
      <c r="D22" s="201"/>
      <c r="E22" s="201"/>
      <c r="F22" s="201"/>
      <c r="G22" s="201"/>
      <c r="H22" s="201"/>
      <c r="K22" s="206"/>
      <c r="L22" s="206"/>
      <c r="M22" s="206"/>
      <c r="N22" s="206"/>
      <c r="O22" s="206"/>
      <c r="P22" s="206"/>
      <c r="Q22" s="206"/>
      <c r="R22" s="206"/>
      <c r="S22" s="206"/>
      <c r="T22" s="206"/>
      <c r="U22" s="206"/>
      <c r="V22" s="206"/>
      <c r="W22" s="206"/>
      <c r="X22" s="206"/>
      <c r="Y22" s="206"/>
      <c r="Z22" s="209"/>
      <c r="AA22" s="207"/>
      <c r="AB22" s="207"/>
      <c r="AC22" s="207"/>
      <c r="AD22" s="207"/>
      <c r="AE22" s="207"/>
      <c r="AF22" s="207"/>
      <c r="AG22" s="207"/>
      <c r="AH22" s="207"/>
      <c r="AI22" s="207"/>
      <c r="AJ22" s="207"/>
      <c r="AK22" s="207"/>
      <c r="AL22" s="207"/>
      <c r="AM22" s="207"/>
      <c r="AN22" s="207"/>
      <c r="AO22" s="303"/>
      <c r="AP22" s="303"/>
      <c r="AQ22" s="303"/>
      <c r="AR22" s="303"/>
      <c r="AS22" s="303"/>
      <c r="AT22" s="303"/>
      <c r="AU22" s="303"/>
      <c r="AV22" s="303"/>
      <c r="AW22" s="303"/>
      <c r="AX22" s="303"/>
      <c r="AY22" s="303"/>
      <c r="AZ22" s="303"/>
      <c r="BA22" s="207"/>
      <c r="BB22" s="207"/>
      <c r="BC22" s="207"/>
      <c r="BD22" s="207"/>
      <c r="BE22" s="207"/>
      <c r="BF22" s="207"/>
      <c r="BG22" s="207"/>
      <c r="BH22" s="207"/>
      <c r="BI22" s="207"/>
      <c r="BJ22" s="207"/>
      <c r="BK22" s="207"/>
      <c r="BL22" s="207"/>
      <c r="BM22" s="207"/>
      <c r="BN22" s="207"/>
      <c r="BO22" s="207"/>
      <c r="BP22" s="207"/>
      <c r="BQ22" s="207"/>
      <c r="BR22" s="207"/>
      <c r="BS22" s="207"/>
      <c r="BT22" s="207"/>
      <c r="BU22" s="207"/>
      <c r="BV22" s="207"/>
      <c r="BW22" s="207"/>
      <c r="BX22" s="207"/>
      <c r="BY22" s="207"/>
      <c r="BZ22" s="207"/>
      <c r="CA22" s="207"/>
      <c r="CB22" s="207"/>
      <c r="CC22" s="207"/>
      <c r="CD22" s="207"/>
      <c r="CE22" s="304"/>
      <c r="CF22" s="304"/>
      <c r="CG22" s="304"/>
      <c r="CH22" s="304"/>
      <c r="CI22" s="304"/>
      <c r="CJ22" s="304"/>
      <c r="CK22" s="304"/>
      <c r="CL22" s="304"/>
      <c r="CM22" s="304"/>
      <c r="CN22" s="304"/>
      <c r="CO22" s="304"/>
      <c r="CP22" s="304"/>
      <c r="CQ22" s="304"/>
      <c r="CR22" s="304"/>
      <c r="CS22" s="305"/>
      <c r="CV22" s="267"/>
      <c r="CW22" s="267"/>
      <c r="CX22" s="267"/>
      <c r="CY22" s="267"/>
      <c r="CZ22" s="267"/>
      <c r="DA22" s="267"/>
      <c r="DB22" s="267"/>
      <c r="DC22" s="267"/>
      <c r="DD22" s="267"/>
      <c r="DE22" s="267"/>
      <c r="DF22" s="267"/>
      <c r="DG22" s="267"/>
      <c r="DH22" s="267"/>
      <c r="DI22" s="267"/>
      <c r="DJ22" s="267"/>
      <c r="DK22" s="267"/>
      <c r="DL22" s="267"/>
      <c r="DM22" s="267"/>
      <c r="DN22" s="267"/>
      <c r="DO22" s="267"/>
      <c r="DP22" s="267"/>
      <c r="DQ22" s="267"/>
      <c r="DR22" s="270"/>
      <c r="DS22" s="270"/>
      <c r="DT22" s="270"/>
      <c r="DU22" s="270"/>
      <c r="DW22" s="278"/>
      <c r="DX22" s="278"/>
      <c r="DY22" s="281"/>
      <c r="DZ22" s="281"/>
      <c r="EB22" s="278"/>
      <c r="EC22" s="278"/>
      <c r="ED22" s="281"/>
      <c r="EE22" s="281"/>
    </row>
    <row r="23" spans="1:158">
      <c r="A23" s="205"/>
      <c r="B23" s="205"/>
      <c r="C23" s="201"/>
      <c r="D23" s="201"/>
      <c r="E23" s="201"/>
      <c r="F23" s="201"/>
      <c r="G23" s="201"/>
      <c r="H23" s="201"/>
      <c r="I23" s="56"/>
      <c r="J23" s="56"/>
      <c r="K23" s="206"/>
      <c r="L23" s="206"/>
      <c r="M23" s="206"/>
      <c r="N23" s="206"/>
      <c r="O23" s="206"/>
      <c r="P23" s="206"/>
      <c r="Q23" s="206"/>
      <c r="R23" s="206"/>
      <c r="S23" s="206"/>
      <c r="T23" s="206"/>
      <c r="U23" s="206"/>
      <c r="V23" s="206"/>
      <c r="W23" s="206"/>
      <c r="X23" s="206"/>
      <c r="Y23" s="206"/>
      <c r="Z23" s="209"/>
      <c r="AA23" s="207"/>
      <c r="AB23" s="207"/>
      <c r="AC23" s="207"/>
      <c r="AD23" s="207"/>
      <c r="AE23" s="207"/>
      <c r="AF23" s="207"/>
      <c r="AG23" s="207"/>
      <c r="AH23" s="207"/>
      <c r="AI23" s="207"/>
      <c r="AJ23" s="207"/>
      <c r="AK23" s="207"/>
      <c r="AL23" s="207"/>
      <c r="AM23" s="207"/>
      <c r="AN23" s="207"/>
      <c r="AO23" s="303"/>
      <c r="AP23" s="303"/>
      <c r="AQ23" s="303"/>
      <c r="AR23" s="303"/>
      <c r="AS23" s="303"/>
      <c r="AT23" s="303"/>
      <c r="AU23" s="303"/>
      <c r="AV23" s="303"/>
      <c r="AW23" s="303"/>
      <c r="AX23" s="303"/>
      <c r="AY23" s="303"/>
      <c r="AZ23" s="303"/>
      <c r="BA23" s="207"/>
      <c r="BB23" s="207"/>
      <c r="BC23" s="207"/>
      <c r="BD23" s="207"/>
      <c r="BE23" s="207"/>
      <c r="BF23" s="207"/>
      <c r="BG23" s="207"/>
      <c r="BH23" s="207"/>
      <c r="BI23" s="207"/>
      <c r="BJ23" s="207"/>
      <c r="BK23" s="207"/>
      <c r="BL23" s="207"/>
      <c r="BM23" s="207"/>
      <c r="BN23" s="207"/>
      <c r="BO23" s="207"/>
      <c r="BP23" s="207"/>
      <c r="BQ23" s="207"/>
      <c r="BR23" s="207"/>
      <c r="BS23" s="207"/>
      <c r="BT23" s="207"/>
      <c r="BU23" s="207"/>
      <c r="BV23" s="207"/>
      <c r="BW23" s="207"/>
      <c r="BX23" s="207"/>
      <c r="BY23" s="207"/>
      <c r="BZ23" s="207"/>
      <c r="CA23" s="207"/>
      <c r="CB23" s="207"/>
      <c r="CC23" s="207"/>
      <c r="CD23" s="207"/>
      <c r="CE23" s="304"/>
      <c r="CF23" s="304"/>
      <c r="CG23" s="304"/>
      <c r="CH23" s="304"/>
      <c r="CI23" s="304"/>
      <c r="CJ23" s="304"/>
      <c r="CK23" s="304"/>
      <c r="CL23" s="304"/>
      <c r="CM23" s="304"/>
      <c r="CN23" s="304"/>
      <c r="CO23" s="304"/>
      <c r="CP23" s="304"/>
      <c r="CQ23" s="304"/>
      <c r="CR23" s="304"/>
      <c r="CS23" s="305"/>
      <c r="CV23" s="267"/>
      <c r="CW23" s="267"/>
      <c r="CX23" s="267"/>
      <c r="CY23" s="267"/>
      <c r="CZ23" s="267"/>
      <c r="DA23" s="267"/>
      <c r="DB23" s="267"/>
      <c r="DC23" s="267"/>
      <c r="DD23" s="267"/>
      <c r="DE23" s="267"/>
      <c r="DF23" s="267"/>
      <c r="DG23" s="267"/>
      <c r="DH23" s="267"/>
      <c r="DI23" s="267"/>
      <c r="DJ23" s="267"/>
      <c r="DK23" s="267"/>
      <c r="DL23" s="267"/>
      <c r="DM23" s="267"/>
      <c r="DN23" s="267"/>
      <c r="DO23" s="267"/>
      <c r="DP23" s="267"/>
      <c r="DQ23" s="267"/>
      <c r="DR23" s="270"/>
      <c r="DS23" s="270"/>
      <c r="DT23" s="270"/>
      <c r="DU23" s="270"/>
      <c r="DW23" s="278"/>
      <c r="DX23" s="278"/>
      <c r="DY23" s="281"/>
      <c r="DZ23" s="281"/>
      <c r="EB23" s="278"/>
      <c r="EC23" s="278"/>
      <c r="ED23" s="281"/>
      <c r="EE23" s="281"/>
    </row>
    <row r="24" spans="1:158">
      <c r="I24" s="56"/>
      <c r="J24" s="56"/>
      <c r="DW24" s="278"/>
      <c r="DX24" s="278" t="s">
        <v>26</v>
      </c>
      <c r="DY24" s="281">
        <f>SUM(DY17:DY23)</f>
        <v>2354.85797902683</v>
      </c>
      <c r="DZ24" s="281">
        <f>SUM(DZ17:DZ23)</f>
        <v>6.2319758900945601</v>
      </c>
      <c r="EC24" s="278" t="s">
        <v>26</v>
      </c>
      <c r="ED24" s="281">
        <f>DY24</f>
        <v>2354.85797902683</v>
      </c>
      <c r="EE24" s="281">
        <f>DZ24</f>
        <v>6.2319758900945601</v>
      </c>
    </row>
    <row r="25" spans="1:158">
      <c r="A25" s="205"/>
      <c r="B25" s="205"/>
      <c r="C25" s="201"/>
      <c r="D25" s="201"/>
      <c r="E25" s="201"/>
      <c r="F25" s="201"/>
      <c r="G25" s="201"/>
      <c r="H25" s="201"/>
      <c r="I25" s="56"/>
      <c r="J25" s="56"/>
      <c r="ED25" s="230">
        <f>SUM(ED17:ED23)-ED24</f>
        <v>0</v>
      </c>
      <c r="EE25" s="230" t="b">
        <f>SUM(EE17:EE23)=EE24</f>
        <v>1</v>
      </c>
    </row>
    <row r="26" spans="1:158">
      <c r="A26" s="205"/>
      <c r="B26" s="205"/>
      <c r="C26" s="201"/>
      <c r="D26" s="201"/>
      <c r="E26" s="201"/>
      <c r="F26" s="201"/>
      <c r="G26" s="201"/>
      <c r="H26" s="201"/>
      <c r="I26" s="56"/>
      <c r="J26" s="56"/>
    </row>
    <row r="27" spans="1:158">
      <c r="A27" s="205"/>
      <c r="B27" s="205"/>
      <c r="C27" s="201"/>
      <c r="D27" s="201"/>
      <c r="E27" s="201"/>
      <c r="F27" s="201"/>
      <c r="G27" s="201"/>
      <c r="H27" s="201"/>
      <c r="I27" s="56"/>
      <c r="J27" s="56"/>
    </row>
    <row r="28" spans="1:158">
      <c r="A28" s="205"/>
      <c r="B28" s="205"/>
      <c r="C28" s="201"/>
      <c r="D28" s="201"/>
      <c r="E28" s="201"/>
      <c r="F28" s="201"/>
      <c r="G28" s="201"/>
      <c r="H28" s="201"/>
      <c r="I28" s="56"/>
      <c r="J28" s="56"/>
    </row>
    <row r="29" spans="1:158">
      <c r="A29" s="205"/>
      <c r="B29" s="205"/>
      <c r="C29" s="201"/>
      <c r="D29" s="201"/>
      <c r="E29" s="201"/>
      <c r="F29" s="201"/>
      <c r="G29" s="201"/>
      <c r="H29" s="352">
        <f>SUM(H17:H28)</f>
        <v>6430.773687305461</v>
      </c>
      <c r="I29" s="97" t="b">
        <f>H29=M7*(1+KTDB_발생량도착량_증가율!$C$8*5)</f>
        <v>0</v>
      </c>
      <c r="J29" s="230"/>
    </row>
    <row r="53" spans="1:164">
      <c r="FA53" s="277"/>
    </row>
    <row r="54" spans="1:164">
      <c r="FA54" s="277"/>
    </row>
    <row r="55" spans="1:164">
      <c r="FA55" s="277"/>
    </row>
    <row r="56" spans="1:164" s="227" customFormat="1" ht="19.5">
      <c r="A56" s="329">
        <v>2025</v>
      </c>
      <c r="B56" s="282"/>
      <c r="C56" s="283"/>
      <c r="D56" s="284"/>
      <c r="E56" s="284"/>
      <c r="F56" s="284"/>
      <c r="G56" s="284"/>
      <c r="H56" s="284"/>
      <c r="I56" s="284"/>
      <c r="K56" s="282"/>
      <c r="L56" s="282"/>
      <c r="M56" s="283"/>
      <c r="N56" s="284"/>
      <c r="O56" s="284"/>
      <c r="P56" s="284"/>
      <c r="Q56" s="284"/>
      <c r="R56" s="284"/>
      <c r="S56" s="284"/>
    </row>
    <row r="57" spans="1:164" ht="23.5" thickBot="1">
      <c r="A57" s="32" t="s">
        <v>641</v>
      </c>
      <c r="C57" t="s">
        <v>463</v>
      </c>
      <c r="D57" t="s">
        <v>467</v>
      </c>
      <c r="E57" t="s">
        <v>470</v>
      </c>
      <c r="F57" t="s">
        <v>465</v>
      </c>
      <c r="G57" t="s">
        <v>466</v>
      </c>
      <c r="H57" t="s">
        <v>21</v>
      </c>
      <c r="K57" s="32" t="s">
        <v>471</v>
      </c>
      <c r="CV57" s="32" t="s">
        <v>492</v>
      </c>
      <c r="CY57" t="s">
        <v>478</v>
      </c>
      <c r="CZ57" t="s">
        <v>479</v>
      </c>
      <c r="EL57" s="353" t="s">
        <v>855</v>
      </c>
      <c r="EV57" s="353" t="s">
        <v>745</v>
      </c>
    </row>
    <row r="58" spans="1:164">
      <c r="A58" t="s">
        <v>462</v>
      </c>
      <c r="C58" t="s">
        <v>427</v>
      </c>
      <c r="D58" t="s">
        <v>428</v>
      </c>
      <c r="E58" t="s">
        <v>429</v>
      </c>
      <c r="F58" t="s">
        <v>430</v>
      </c>
      <c r="G58" t="s">
        <v>431</v>
      </c>
      <c r="H58" t="s">
        <v>457</v>
      </c>
      <c r="K58" s="159" t="s">
        <v>482</v>
      </c>
      <c r="L58" s="159"/>
      <c r="M58" s="443" t="s">
        <v>463</v>
      </c>
      <c r="N58" s="444"/>
      <c r="O58" s="444"/>
      <c r="P58" s="444"/>
      <c r="Q58" s="444"/>
      <c r="R58" s="444"/>
      <c r="S58" s="444"/>
      <c r="T58" s="444"/>
      <c r="U58" s="444"/>
      <c r="V58" s="444"/>
      <c r="W58" s="444"/>
      <c r="X58" s="444"/>
      <c r="Y58" s="444"/>
      <c r="Z58" s="445"/>
      <c r="AA58" s="443" t="s">
        <v>467</v>
      </c>
      <c r="AB58" s="444"/>
      <c r="AC58" s="444"/>
      <c r="AD58" s="444"/>
      <c r="AE58" s="444"/>
      <c r="AF58" s="444"/>
      <c r="AG58" s="444"/>
      <c r="AH58" s="444"/>
      <c r="AI58" s="444"/>
      <c r="AJ58" s="444"/>
      <c r="AK58" s="444"/>
      <c r="AL58" s="444"/>
      <c r="AM58" s="444"/>
      <c r="AN58" s="445"/>
      <c r="AO58" s="443" t="s">
        <v>464</v>
      </c>
      <c r="AP58" s="444"/>
      <c r="AQ58" s="444"/>
      <c r="AR58" s="444"/>
      <c r="AS58" s="444"/>
      <c r="AT58" s="444"/>
      <c r="AU58" s="444"/>
      <c r="AV58" s="444"/>
      <c r="AW58" s="444"/>
      <c r="AX58" s="444"/>
      <c r="AY58" s="444"/>
      <c r="AZ58" s="444"/>
      <c r="BA58" s="444"/>
      <c r="BB58" s="445"/>
      <c r="BC58" s="443" t="s">
        <v>465</v>
      </c>
      <c r="BD58" s="444"/>
      <c r="BE58" s="444"/>
      <c r="BF58" s="444"/>
      <c r="BG58" s="444"/>
      <c r="BH58" s="444"/>
      <c r="BI58" s="444"/>
      <c r="BJ58" s="444"/>
      <c r="BK58" s="444"/>
      <c r="BL58" s="444"/>
      <c r="BM58" s="444"/>
      <c r="BN58" s="444"/>
      <c r="BO58" s="444"/>
      <c r="BP58" s="445"/>
      <c r="BQ58" s="443" t="s">
        <v>466</v>
      </c>
      <c r="BR58" s="444"/>
      <c r="BS58" s="444"/>
      <c r="BT58" s="444"/>
      <c r="BU58" s="444"/>
      <c r="BV58" s="444"/>
      <c r="BW58" s="444"/>
      <c r="BX58" s="444"/>
      <c r="BY58" s="444"/>
      <c r="BZ58" s="444"/>
      <c r="CA58" s="444"/>
      <c r="CB58" s="444"/>
      <c r="CC58" s="444"/>
      <c r="CD58" s="445"/>
      <c r="CE58" s="443" t="s">
        <v>21</v>
      </c>
      <c r="CF58" s="444"/>
      <c r="CG58" s="444"/>
      <c r="CH58" s="444"/>
      <c r="CI58" s="444"/>
      <c r="CJ58" s="444"/>
      <c r="CK58" s="444"/>
      <c r="CL58" s="444"/>
      <c r="CM58" s="444"/>
      <c r="CN58" s="444"/>
      <c r="CO58" s="444"/>
      <c r="CP58" s="444"/>
      <c r="CQ58" s="444"/>
      <c r="CR58" s="445"/>
      <c r="CV58" s="263" t="s">
        <v>482</v>
      </c>
      <c r="CW58" s="263"/>
      <c r="CX58" s="446" t="s">
        <v>554</v>
      </c>
      <c r="CY58" s="439"/>
      <c r="CZ58" s="439"/>
      <c r="DA58" s="440"/>
      <c r="DB58" s="438" t="s">
        <v>553</v>
      </c>
      <c r="DC58" s="439"/>
      <c r="DD58" s="439"/>
      <c r="DE58" s="440"/>
      <c r="DF58" s="438" t="s">
        <v>464</v>
      </c>
      <c r="DG58" s="439"/>
      <c r="DH58" s="439"/>
      <c r="DI58" s="440"/>
      <c r="DJ58" s="438" t="s">
        <v>465</v>
      </c>
      <c r="DK58" s="439"/>
      <c r="DL58" s="439"/>
      <c r="DM58" s="440"/>
      <c r="DN58" s="438" t="s">
        <v>466</v>
      </c>
      <c r="DO58" s="439"/>
      <c r="DP58" s="439"/>
      <c r="DQ58" s="440"/>
      <c r="DR58" s="438" t="s">
        <v>21</v>
      </c>
      <c r="DS58" s="439"/>
      <c r="DT58" s="439"/>
      <c r="DU58" s="441"/>
      <c r="DW58" s="278"/>
      <c r="DX58" s="278"/>
      <c r="DY58" s="442" t="s">
        <v>588</v>
      </c>
      <c r="DZ58" s="442"/>
      <c r="EB58" s="278"/>
      <c r="EC58" s="278"/>
      <c r="ED58" s="442" t="s">
        <v>588</v>
      </c>
      <c r="EE58" s="442"/>
      <c r="EI58" t="s">
        <v>599</v>
      </c>
    </row>
    <row r="59" spans="1:164">
      <c r="A59" s="199"/>
      <c r="B59" s="199"/>
      <c r="C59" s="202" t="s">
        <v>463</v>
      </c>
      <c r="D59" s="202" t="s">
        <v>467</v>
      </c>
      <c r="E59" s="202" t="s">
        <v>464</v>
      </c>
      <c r="F59" s="202" t="s">
        <v>465</v>
      </c>
      <c r="G59" s="202" t="s">
        <v>558</v>
      </c>
      <c r="H59" s="202" t="s">
        <v>21</v>
      </c>
      <c r="K59" s="159"/>
      <c r="L59" s="159"/>
      <c r="M59" s="211" t="s">
        <v>472</v>
      </c>
      <c r="N59" s="160" t="s">
        <v>156</v>
      </c>
      <c r="O59" s="160" t="s">
        <v>475</v>
      </c>
      <c r="P59" s="160" t="s">
        <v>476</v>
      </c>
      <c r="Q59" s="160" t="s">
        <v>477</v>
      </c>
      <c r="R59" s="160" t="s">
        <v>478</v>
      </c>
      <c r="S59" s="160" t="s">
        <v>479</v>
      </c>
      <c r="T59" s="160" t="s">
        <v>480</v>
      </c>
      <c r="U59" s="160" t="s">
        <v>449</v>
      </c>
      <c r="V59" s="160" t="s">
        <v>157</v>
      </c>
      <c r="W59" s="160" t="s">
        <v>473</v>
      </c>
      <c r="X59" s="160" t="s">
        <v>474</v>
      </c>
      <c r="Y59" s="160" t="s">
        <v>46</v>
      </c>
      <c r="Z59" s="212" t="s">
        <v>11</v>
      </c>
      <c r="AA59" s="211" t="s">
        <v>472</v>
      </c>
      <c r="AB59" s="160" t="s">
        <v>156</v>
      </c>
      <c r="AC59" s="160" t="s">
        <v>475</v>
      </c>
      <c r="AD59" s="160" t="s">
        <v>476</v>
      </c>
      <c r="AE59" s="160" t="s">
        <v>477</v>
      </c>
      <c r="AF59" s="160" t="s">
        <v>478</v>
      </c>
      <c r="AG59" s="160" t="s">
        <v>479</v>
      </c>
      <c r="AH59" s="160" t="s">
        <v>480</v>
      </c>
      <c r="AI59" s="160" t="s">
        <v>449</v>
      </c>
      <c r="AJ59" s="160" t="s">
        <v>157</v>
      </c>
      <c r="AK59" s="160" t="s">
        <v>473</v>
      </c>
      <c r="AL59" s="160" t="s">
        <v>474</v>
      </c>
      <c r="AM59" s="160" t="s">
        <v>46</v>
      </c>
      <c r="AN59" s="212" t="s">
        <v>11</v>
      </c>
      <c r="AO59" s="211" t="s">
        <v>472</v>
      </c>
      <c r="AP59" s="160" t="s">
        <v>156</v>
      </c>
      <c r="AQ59" s="160" t="s">
        <v>475</v>
      </c>
      <c r="AR59" s="160" t="s">
        <v>476</v>
      </c>
      <c r="AS59" s="160" t="s">
        <v>477</v>
      </c>
      <c r="AT59" s="160" t="s">
        <v>478</v>
      </c>
      <c r="AU59" s="160" t="s">
        <v>479</v>
      </c>
      <c r="AV59" s="160" t="s">
        <v>480</v>
      </c>
      <c r="AW59" s="160" t="s">
        <v>449</v>
      </c>
      <c r="AX59" s="160" t="s">
        <v>157</v>
      </c>
      <c r="AY59" s="160" t="s">
        <v>473</v>
      </c>
      <c r="AZ59" s="160" t="s">
        <v>474</v>
      </c>
      <c r="BA59" s="160" t="s">
        <v>46</v>
      </c>
      <c r="BB59" s="212" t="s">
        <v>11</v>
      </c>
      <c r="BC59" s="211" t="s">
        <v>472</v>
      </c>
      <c r="BD59" s="160" t="s">
        <v>156</v>
      </c>
      <c r="BE59" s="160" t="s">
        <v>475</v>
      </c>
      <c r="BF59" s="160" t="s">
        <v>476</v>
      </c>
      <c r="BG59" s="160" t="s">
        <v>477</v>
      </c>
      <c r="BH59" s="160" t="s">
        <v>478</v>
      </c>
      <c r="BI59" s="160" t="s">
        <v>479</v>
      </c>
      <c r="BJ59" s="160" t="s">
        <v>480</v>
      </c>
      <c r="BK59" s="160" t="s">
        <v>449</v>
      </c>
      <c r="BL59" s="160" t="s">
        <v>157</v>
      </c>
      <c r="BM59" s="160" t="s">
        <v>473</v>
      </c>
      <c r="BN59" s="160" t="s">
        <v>474</v>
      </c>
      <c r="BO59" s="160" t="s">
        <v>46</v>
      </c>
      <c r="BP59" s="212" t="s">
        <v>11</v>
      </c>
      <c r="BQ59" s="211" t="s">
        <v>472</v>
      </c>
      <c r="BR59" s="160" t="s">
        <v>156</v>
      </c>
      <c r="BS59" s="160" t="s">
        <v>475</v>
      </c>
      <c r="BT59" s="160" t="s">
        <v>476</v>
      </c>
      <c r="BU59" s="160" t="s">
        <v>477</v>
      </c>
      <c r="BV59" s="160" t="s">
        <v>478</v>
      </c>
      <c r="BW59" s="160" t="s">
        <v>479</v>
      </c>
      <c r="BX59" s="160" t="s">
        <v>480</v>
      </c>
      <c r="BY59" s="160" t="s">
        <v>449</v>
      </c>
      <c r="BZ59" s="160" t="s">
        <v>157</v>
      </c>
      <c r="CA59" s="160" t="s">
        <v>473</v>
      </c>
      <c r="CB59" s="160" t="s">
        <v>474</v>
      </c>
      <c r="CC59" s="160" t="s">
        <v>46</v>
      </c>
      <c r="CD59" s="212" t="s">
        <v>11</v>
      </c>
      <c r="CE59" s="211" t="s">
        <v>472</v>
      </c>
      <c r="CF59" s="160" t="s">
        <v>156</v>
      </c>
      <c r="CG59" s="160" t="s">
        <v>475</v>
      </c>
      <c r="CH59" s="160" t="s">
        <v>476</v>
      </c>
      <c r="CI59" s="160" t="s">
        <v>477</v>
      </c>
      <c r="CJ59" s="160" t="s">
        <v>478</v>
      </c>
      <c r="CK59" s="160" t="s">
        <v>479</v>
      </c>
      <c r="CL59" s="160" t="s">
        <v>480</v>
      </c>
      <c r="CM59" s="160" t="s">
        <v>449</v>
      </c>
      <c r="CN59" s="160" t="s">
        <v>157</v>
      </c>
      <c r="CO59" s="160" t="s">
        <v>473</v>
      </c>
      <c r="CP59" s="160" t="s">
        <v>474</v>
      </c>
      <c r="CQ59" s="160" t="s">
        <v>46</v>
      </c>
      <c r="CR59" s="212" t="s">
        <v>11</v>
      </c>
      <c r="CV59" s="263"/>
      <c r="CW59" s="263"/>
      <c r="CX59" s="264" t="s">
        <v>156</v>
      </c>
      <c r="CY59" s="264" t="s">
        <v>478</v>
      </c>
      <c r="CZ59" s="264" t="s">
        <v>479</v>
      </c>
      <c r="DA59" s="264" t="s">
        <v>157</v>
      </c>
      <c r="DB59" s="264" t="s">
        <v>156</v>
      </c>
      <c r="DC59" s="264" t="s">
        <v>478</v>
      </c>
      <c r="DD59" s="264" t="s">
        <v>479</v>
      </c>
      <c r="DE59" s="264" t="s">
        <v>157</v>
      </c>
      <c r="DF59" s="264" t="s">
        <v>156</v>
      </c>
      <c r="DG59" s="264" t="s">
        <v>478</v>
      </c>
      <c r="DH59" s="264" t="s">
        <v>479</v>
      </c>
      <c r="DI59" s="264" t="s">
        <v>157</v>
      </c>
      <c r="DJ59" s="264" t="s">
        <v>156</v>
      </c>
      <c r="DK59" s="264" t="s">
        <v>478</v>
      </c>
      <c r="DL59" s="264" t="s">
        <v>479</v>
      </c>
      <c r="DM59" s="264" t="s">
        <v>157</v>
      </c>
      <c r="DN59" s="264" t="s">
        <v>156</v>
      </c>
      <c r="DO59" s="264" t="s">
        <v>478</v>
      </c>
      <c r="DP59" s="264" t="s">
        <v>479</v>
      </c>
      <c r="DQ59" s="264" t="s">
        <v>157</v>
      </c>
      <c r="DR59" s="264" t="s">
        <v>156</v>
      </c>
      <c r="DS59" s="264" t="s">
        <v>478</v>
      </c>
      <c r="DT59" s="264" t="s">
        <v>479</v>
      </c>
      <c r="DU59" s="264" t="s">
        <v>157</v>
      </c>
      <c r="DW59" s="278"/>
      <c r="DX59" s="278"/>
      <c r="DY59" s="280" t="s">
        <v>585</v>
      </c>
      <c r="DZ59" s="280" t="s">
        <v>259</v>
      </c>
      <c r="EB59" s="278"/>
      <c r="EC59" s="278"/>
      <c r="ED59" s="280" t="s">
        <v>585</v>
      </c>
      <c r="EE59" s="280" t="s">
        <v>259</v>
      </c>
      <c r="EL59" s="420" t="s">
        <v>564</v>
      </c>
      <c r="EM59" s="420" t="s">
        <v>565</v>
      </c>
      <c r="EN59" s="420" t="s">
        <v>566</v>
      </c>
      <c r="EO59" s="420" t="s">
        <v>562</v>
      </c>
      <c r="EP59" s="421" t="s">
        <v>597</v>
      </c>
      <c r="EQ59" s="421" t="s">
        <v>585</v>
      </c>
      <c r="ER59" s="421" t="s">
        <v>259</v>
      </c>
      <c r="ES59" s="424" t="s">
        <v>867</v>
      </c>
      <c r="EV59" s="306" t="s">
        <v>564</v>
      </c>
      <c r="EW59" s="306" t="s">
        <v>565</v>
      </c>
      <c r="EX59" s="306" t="s">
        <v>566</v>
      </c>
      <c r="EY59" s="306" t="s">
        <v>562</v>
      </c>
      <c r="EZ59" s="307" t="s">
        <v>597</v>
      </c>
      <c r="FA59" s="307" t="s">
        <v>585</v>
      </c>
      <c r="FB59" s="307" t="s">
        <v>259</v>
      </c>
    </row>
    <row r="60" spans="1:164">
      <c r="A60" s="205"/>
      <c r="B60" s="205" t="s">
        <v>744</v>
      </c>
      <c r="C60" s="400">
        <f>$L$7*KTDB_TripDistribution_2035!T$12 * (1+KTDB_발생량도착량_증가율!$C$7*5) * (1+KTDB_발생량도착량_증가율!$D$8*5) * (1+KTDB_발생량도착량_증가율!$E$8*5)</f>
        <v>742.70231991589708</v>
      </c>
      <c r="D60" s="400">
        <f>$L$7*KTDB_TripDistribution_2035!U$12 * (1+KTDB_발생량도착량_증가율!$C$7*5) * (1+KTDB_발생량도착량_증가율!$D$8*5) * (1+KTDB_발생량도착량_증가율!$E$8*5)</f>
        <v>5375.0886325361853</v>
      </c>
      <c r="E60" s="400">
        <f>$L$7*KTDB_TripDistribution_2035!V$12 * (1+KTDB_발생량도착량_증가율!$C$7*5) * (1+KTDB_발생량도착량_증가율!$D$8*5) * (1+KTDB_발생량도착량_증가율!$E$8*5)</f>
        <v>308.35553038700522</v>
      </c>
      <c r="F60" s="400">
        <f>$L$7*KTDB_TripDistribution_2035!W$12 * (1+KTDB_발생량도착량_증가율!$C$7*5) * (1+KTDB_발생량도착량_증가율!$D$8*5) * (1+KTDB_발생량도착량_증가율!$E$8*5)</f>
        <v>0.48458176593033625</v>
      </c>
      <c r="G60" s="400">
        <f>$L$7*KTDB_TripDistribution_2035!X$12 * (1+KTDB_발생량도착량_증가율!$C$7*5) * (1+KTDB_발생량도착량_증가율!$D$8*5) * (1+KTDB_발생량도착량_증가율!$E$8*5)</f>
        <v>1.8306422268479428</v>
      </c>
      <c r="H60" s="400">
        <f>$L$7*KTDB_TripDistribution_2035!Y$12 * (1+KTDB_발생량도착량_증가율!$C$7*5) * (1+KTDB_발생량도착량_증가율!$D$8*5) * (1+KTDB_발생량도착량_증가율!$E$8*5)</f>
        <v>6428.4617068318666</v>
      </c>
      <c r="J60" s="230">
        <f t="shared" ref="J60" si="5">CR60</f>
        <v>6428.4617068318657</v>
      </c>
      <c r="K60" s="206"/>
      <c r="L60" s="206" t="s">
        <v>743</v>
      </c>
      <c r="M60" s="206">
        <f>INDEX($A$59:$H$60,MATCH($L60,$B$59:$B$60,0),MATCH($M$58,$A$59:$H$59,0))*고양시_Modal_split!C$3 * 0.01</f>
        <v>2.0795664957645115</v>
      </c>
      <c r="N60" s="206">
        <f>INDEX($A$59:$H$60,MATCH($L60,$B$59:$B$60,0),MATCH($M$58,$A$59:$H$59,0))*고양시_Modal_split!D$3 * 0.01</f>
        <v>349.29290105644645</v>
      </c>
      <c r="O60" s="206">
        <f>INDEX($A$59:$H$60,MATCH($L60,$B$59:$B$60,0),MATCH($M$58,$A$59:$H$59,0))*고양시_Modal_split!E$3 * 0.01</f>
        <v>42.25976200321454</v>
      </c>
      <c r="P60" s="206">
        <f>INDEX($A$59:$H$60,MATCH($L60,$B$59:$B$60,0),MATCH($M$58,$A$59:$H$59,0))*고양시_Modal_split!F$3 * 0.01</f>
        <v>68.105802736287757</v>
      </c>
      <c r="Q60" s="206">
        <f>INDEX($A$59:$H$60,MATCH($L60,$B$59:$B$60,0),MATCH($M$58,$A$59:$H$59,0))*고양시_Modal_split!G$3 * 0.01</f>
        <v>6.8328613432262522</v>
      </c>
      <c r="R60" s="206">
        <f>INDEX($A$59:$H$60,MATCH($L60,$B$59:$B$60,0),MATCH($M$58,$A$59:$H$59,0))*고양시_Modal_split!H$3 * 0.01</f>
        <v>7.4270231991589719E-2</v>
      </c>
      <c r="S60" s="206">
        <f>INDEX($A$59:$H$60,MATCH($L60,$B$59:$B$60,0),MATCH($M$58,$A$59:$H$59,0))*고양시_Modal_split!I$3 * 0.01</f>
        <v>20.647124493661938</v>
      </c>
      <c r="T60" s="206">
        <f>INDEX($A$59:$H$60,MATCH($L60,$B$59:$B$60,0),MATCH($M$58,$A$59:$H$59,0))*고양시_Modal_split!J$3 * 0.01</f>
        <v>226.07858618239908</v>
      </c>
      <c r="U60" s="206">
        <f>INDEX($A$59:$H$60,MATCH($L60,$B$59:$B$60,0),MATCH($M$58,$A$59:$H$59,0))*고양시_Modal_split!K$3 * 0.01</f>
        <v>1.1140534798738455</v>
      </c>
      <c r="V60" s="206">
        <f>INDEX($A$59:$H$60,MATCH($L60,$B$59:$B$60,0),MATCH($M$58,$A$59:$H$59,0))*고양시_Modal_split!L$3 * 0.01</f>
        <v>22.429610061460092</v>
      </c>
      <c r="W60" s="206">
        <f>INDEX($A$59:$H$60,MATCH($L60,$B$59:$B$60,0),MATCH($M$58,$A$59:$H$59,0))*고양시_Modal_split!M$3 * 0.01</f>
        <v>1.708215335806563</v>
      </c>
      <c r="X60" s="206">
        <f>INDEX($A$59:$H$60,MATCH($L60,$B$59:$B$60,0),MATCH($M$58,$A$59:$H$59,0))*고양시_Modal_split!N$3 * 0.01</f>
        <v>0.74270231991589708</v>
      </c>
      <c r="Y60" s="206">
        <f>INDEX($A$59:$H$60,MATCH($L60,$B$59:$B$60,0),MATCH($M$58,$A$59:$H$59,0))*고양시_Modal_split!O$3 * 0.01</f>
        <v>1.3368641758486146</v>
      </c>
      <c r="Z60" s="209">
        <f>INDEX($A$59:$H$60,MATCH($L60,$B$59:$B$60,0),MATCH($M$58,$A$59:$H$59,0))*고양시_Modal_split!P$3 * 0.01</f>
        <v>742.70231991589708</v>
      </c>
      <c r="AA60" s="206">
        <f>INDEX($A$59:$H$60,MATCH($L60,$B$59:$B$60,0),MATCH($AA$58,$A$59:$H$59,0))*고양시_Modal_split!C$3 * 0.01</f>
        <v>15.050248171101318</v>
      </c>
      <c r="AB60" s="207">
        <f>INDEX($A$59:$H$60,MATCH($L60,$B$59:$B$60,0),MATCH($AA$58,$A$59:$H$59,0))*고양시_Modal_split!D$3 * 0.01</f>
        <v>2527.9041838817679</v>
      </c>
      <c r="AC60" s="207">
        <f>INDEX($A$59:$H$60,MATCH($L60,$B$59:$B$60,0),MATCH($AA$58,$A$59:$H$59,0))*고양시_Modal_split!E$3 * 0.01</f>
        <v>305.84254319130889</v>
      </c>
      <c r="AD60" s="207">
        <f>INDEX($A$59:$H$60,MATCH($L60,$B$59:$B$60,0),MATCH($AA$58,$A$59:$H$59,0))*고양시_Modal_split!F$3 * 0.01</f>
        <v>492.89562760356824</v>
      </c>
      <c r="AE60" s="207">
        <f>INDEX($A$59:$H$60,MATCH($L60,$B$59:$B$60,0),MATCH($AA$58,$A$59:$H$59,0))*고양시_Modal_split!G$3 * 0.01</f>
        <v>49.450815419332905</v>
      </c>
      <c r="AF60" s="207">
        <f>INDEX($A$59:$H$60,MATCH($L60,$B$59:$B$60,0),MATCH($AA$58,$A$59:$H$59,0))*고양시_Modal_split!H$3 * 0.01</f>
        <v>0.53750886325361857</v>
      </c>
      <c r="AG60" s="207">
        <f>INDEX($A$59:$H$60,MATCH($L60,$B$59:$B$60,0),MATCH($AA$58,$A$59:$H$59,0))*고양시_Modal_split!I$3 * 0.01</f>
        <v>149.42746398450595</v>
      </c>
      <c r="AH60" s="207">
        <f>INDEX($A$59:$H$60,MATCH($L60,$B$59:$B$60,0),MATCH($AA$58,$A$59:$H$59,0))*고양시_Modal_split!J$3 * 0.01</f>
        <v>1636.1769797440149</v>
      </c>
      <c r="AI60" s="207">
        <f>INDEX($A$59:$H$60,MATCH($L60,$B$59:$B$60,0),MATCH($AA$58,$A$59:$H$59,0))*고양시_Modal_split!K$3 * 0.01</f>
        <v>8.0626329488042785</v>
      </c>
      <c r="AJ60" s="207">
        <f>INDEX($A$59:$H$60,MATCH($L60,$B$59:$B$60,0),MATCH($AA$58,$A$59:$H$59,0))*고양시_Modal_split!L$3 * 0.01</f>
        <v>162.32767670259281</v>
      </c>
      <c r="AK60" s="207">
        <f>INDEX($A$59:$H$60,MATCH($L60,$B$59:$B$60,0),MATCH($AA$58,$A$59:$H$59,0))*고양시_Modal_split!M$3 * 0.01</f>
        <v>12.362703854833226</v>
      </c>
      <c r="AL60" s="207">
        <f>INDEX($A$59:$H$60,MATCH($L60,$B$59:$B$60,0),MATCH($AA$58,$A$59:$H$59,0))*고양시_Modal_split!N$3 * 0.01</f>
        <v>5.3750886325361851</v>
      </c>
      <c r="AM60" s="207">
        <f>INDEX($A$59:$H$60,MATCH($L60,$B$59:$B$60,0),MATCH($AA$58,$A$59:$H$59,0))*고양시_Modal_split!O$3 * 0.01</f>
        <v>9.6751595385651328</v>
      </c>
      <c r="AN60" s="207">
        <f>INDEX($A$59:$H$60,MATCH($L60,$B$59:$B$60,0),MATCH($AA$58,$A$59:$H$59,0))*고양시_Modal_split!P$3 * 0.01</f>
        <v>5375.0886325361853</v>
      </c>
      <c r="AO60" s="206">
        <f>INDEX($A$59:$H$60,MATCH($L60,$B$59:$B$60,0),MATCH($AO$58,$A$59:$H$59,0))*고양시_Modal_split!C$3 * 0.01</f>
        <v>0.86339548508361452</v>
      </c>
      <c r="AP60" s="303">
        <f>INDEX($A$59:$H$60,MATCH($L60,$B$59:$B$60,0),MATCH($AO$58,$A$59:$H$59,0))*고양시_Modal_split!D$3 * 0.01</f>
        <v>145.01960594100856</v>
      </c>
      <c r="AQ60" s="303">
        <f>INDEX($A$59:$H$60,MATCH($L60,$B$59:$B$60,0),MATCH($AO$58,$A$59:$H$59,0))*고양시_Modal_split!E$3 * 0.01</f>
        <v>17.545429679020597</v>
      </c>
      <c r="AR60" s="303">
        <f>INDEX($A$59:$H$60,MATCH($L60,$B$59:$B$60,0),MATCH($AO$58,$A$59:$H$59,0))*고양시_Modal_split!F$3 * 0.01</f>
        <v>28.276202136488379</v>
      </c>
      <c r="AS60" s="303">
        <f>INDEX($A$59:$H$60,MATCH($L60,$B$59:$B$60,0),MATCH($AO$58,$A$59:$H$59,0))*고양시_Modal_split!G$3 * 0.01</f>
        <v>2.8368708795604478</v>
      </c>
      <c r="AT60" s="303">
        <f>INDEX($A$59:$H$60,MATCH($L60,$B$59:$B$60,0),MATCH($AO$58,$A$59:$H$59,0))*고양시_Modal_split!H$3 * 0.01</f>
        <v>3.0835553038700524E-2</v>
      </c>
      <c r="AU60" s="303">
        <f>INDEX($A$59:$H$60,MATCH($L60,$B$59:$B$60,0),MATCH($AO$58,$A$59:$H$59,0))*고양시_Modal_split!I$3 * 0.01</f>
        <v>8.5722837447587459</v>
      </c>
      <c r="AV60" s="303">
        <f>INDEX($A$59:$H$60,MATCH($L60,$B$59:$B$60,0),MATCH($AO$58,$A$59:$H$59,0))*고양시_Modal_split!J$3 * 0.01</f>
        <v>93.863423449804401</v>
      </c>
      <c r="AW60" s="303">
        <f>INDEX($A$59:$H$60,MATCH($L60,$B$59:$B$60,0),MATCH($AO$58,$A$59:$H$59,0))*고양시_Modal_split!K$3 * 0.01</f>
        <v>0.46253329558050782</v>
      </c>
      <c r="AX60" s="303">
        <f>INDEX($A$59:$H$60,MATCH($L60,$B$59:$B$60,0),MATCH($AO$58,$A$59:$H$59,0))*고양시_Modal_split!L$3 * 0.01</f>
        <v>9.3123370176875575</v>
      </c>
      <c r="AY60" s="303">
        <f>INDEX($A$59:$H$60,MATCH($L60,$B$59:$B$60,0),MATCH($AO$58,$A$59:$H$59,0))*고양시_Modal_split!M$3 * 0.01</f>
        <v>0.70921771989011195</v>
      </c>
      <c r="AZ60" s="303">
        <f>INDEX($A$59:$H$60,MATCH($L60,$B$59:$B$60,0),MATCH($AO$58,$A$59:$H$59,0))*고양시_Modal_split!N$3 * 0.01</f>
        <v>0.30835553038700525</v>
      </c>
      <c r="BA60" s="207">
        <f>INDEX($A$59:$H$60,MATCH($L60,$B$59:$B$60,0),MATCH($AO$58,$A$59:$H$59,0))*고양시_Modal_split!O$3 * 0.01</f>
        <v>0.55503995469660938</v>
      </c>
      <c r="BB60" s="207">
        <f>INDEX($A$59:$H$60,MATCH($L60,$B$59:$B$60,0),MATCH($AO$58,$A$59:$H$59,0))*고양시_Modal_split!P$3 * 0.01</f>
        <v>308.35553038700522</v>
      </c>
      <c r="BC60" s="207">
        <f>INDEX($A$59:$H$60,MATCH($L60,$B$59:$B$60,0),MATCH($BC$58,$A$59:$H$59,0))*고양시_Modal_split!C$3 * 0.01</f>
        <v>1.3568289446049414E-3</v>
      </c>
      <c r="BD60" s="207">
        <f>INDEX($A$59:$H$60,MATCH($L60,$B$59:$B$60,0),MATCH($BC$58,$A$59:$H$59,0))*고양시_Modal_split!D$3 * 0.01</f>
        <v>0.22789880451703715</v>
      </c>
      <c r="BE60" s="207">
        <f>INDEX($A$59:$H$60,MATCH($L60,$B$59:$B$60,0),MATCH($BC$58,$A$59:$H$59,0))*고양시_Modal_split!E$3 * 0.01</f>
        <v>2.7572702481436128E-2</v>
      </c>
      <c r="BF60" s="207">
        <f>INDEX($A$59:$H$60,MATCH($L60,$B$59:$B$60,0),MATCH($BC$58,$A$59:$H$59,0))*고양시_Modal_split!F$3 * 0.01</f>
        <v>4.4436147935811833E-2</v>
      </c>
      <c r="BG60" s="207">
        <f>INDEX($A$59:$H$60,MATCH($L60,$B$59:$B$60,0),MATCH($BC$58,$A$59:$H$59,0))*고양시_Modal_split!G$3 * 0.01</f>
        <v>4.4581522465590934E-3</v>
      </c>
      <c r="BH60" s="207">
        <f>INDEX($A$59:$H$60,MATCH($L60,$B$59:$B$60,0),MATCH($BC$58,$A$59:$H$59,0))*고양시_Modal_split!H$3 * 0.01</f>
        <v>4.8458176593033629E-5</v>
      </c>
      <c r="BI60" s="207">
        <f>INDEX($A$59:$H$60,MATCH($L60,$B$59:$B$60,0),MATCH($BC$58,$A$59:$H$59,0))*고양시_Modal_split!I$3 * 0.01</f>
        <v>1.3471373092863346E-2</v>
      </c>
      <c r="BJ60" s="207">
        <f>INDEX($A$59:$H$60,MATCH($L60,$B$59:$B$60,0),MATCH($BC$58,$A$59:$H$59,0))*고양시_Modal_split!J$3 * 0.01</f>
        <v>0.14750668954919435</v>
      </c>
      <c r="BK60" s="207">
        <f>INDEX($A$59:$H$60,MATCH($L60,$B$59:$B$60,0),MATCH($BC$58,$A$59:$H$59,0))*고양시_Modal_split!K$3 * 0.01</f>
        <v>7.2687264889550432E-4</v>
      </c>
      <c r="BL60" s="207">
        <f>INDEX($A$59:$H$60,MATCH($L60,$B$59:$B$60,0),MATCH($BC$58,$A$59:$H$59,0))*고양시_Modal_split!L$3 * 0.01</f>
        <v>1.4634369331096155E-2</v>
      </c>
      <c r="BM60" s="207">
        <f>INDEX($A$59:$H$60,MATCH($L60,$B$59:$B$60,0),MATCH($BC$58,$A$59:$H$59,0))*고양시_Modal_split!M$3 * 0.01</f>
        <v>1.1145380616397734E-3</v>
      </c>
      <c r="BN60" s="207">
        <f>INDEX($A$59:$H$60,MATCH($L60,$B$59:$B$60,0),MATCH($BC$58,$A$59:$H$59,0))*고양시_Modal_split!N$3 * 0.01</f>
        <v>4.8458176593033629E-4</v>
      </c>
      <c r="BO60" s="207">
        <f>INDEX($A$59:$H$60,MATCH($L60,$B$59:$B$60,0),MATCH($BC$58,$A$59:$H$59,0))*고양시_Modal_split!O$3 * 0.01</f>
        <v>8.7224717867460532E-4</v>
      </c>
      <c r="BP60" s="207">
        <f>INDEX($A$59:$H$60,MATCH($L60,$B$59:$B$60,0),MATCH($BC$58,$A$59:$H$59,0))*고양시_Modal_split!P$3 * 0.01</f>
        <v>0.48458176593033631</v>
      </c>
      <c r="BQ60" s="207">
        <f>INDEX($A$59:$H$60,MATCH($L60,$B$59:$B$60,0),MATCH($BQ$58,$A$59:$H$59,0))*고양시_Modal_split!C$3 * 0.01</f>
        <v>5.1257982351742394E-3</v>
      </c>
      <c r="BR60" s="207">
        <f>INDEX($A$59:$H$60,MATCH($L60,$B$59:$B$60,0),MATCH($BQ$58,$A$59:$H$59,0))*고양시_Modal_split!D$3 * 0.01</f>
        <v>0.86095103928658745</v>
      </c>
      <c r="BS60" s="207">
        <f>INDEX($A$59:$H$60,MATCH($L60,$B$59:$B$60,0),MATCH($BQ$58,$A$59:$H$59,0))*고양시_Modal_split!E$3 * 0.01</f>
        <v>0.10416354270764794</v>
      </c>
      <c r="BT60" s="207">
        <f>INDEX($A$59:$H$60,MATCH($L60,$B$59:$B$60,0),MATCH($BQ$58,$A$59:$H$59,0))*고양시_Modal_split!F$3 * 0.01</f>
        <v>0.16786989220195636</v>
      </c>
      <c r="BU60" s="207">
        <f>INDEX($A$59:$H$60,MATCH($L60,$B$59:$B$60,0),MATCH($BQ$58,$A$59:$H$59,0))*고양시_Modal_split!G$3 * 0.01</f>
        <v>1.6841908487001071E-2</v>
      </c>
      <c r="BV60" s="207">
        <f>INDEX($A$59:$H$60,MATCH($L60,$B$59:$B$60,0),MATCH($BQ$58,$A$59:$H$59,0))*고양시_Modal_split!H$3 * 0.01</f>
        <v>1.830642226847943E-4</v>
      </c>
      <c r="BW60" s="207">
        <f>INDEX($A$59:$H$60,MATCH($L60,$B$59:$B$60,0),MATCH($BQ$58,$A$59:$H$59,0))*고양시_Modal_split!I$3 * 0.01</f>
        <v>5.0891853906372804E-2</v>
      </c>
      <c r="BX60" s="207">
        <f>INDEX($A$59:$H$60,MATCH($L60,$B$59:$B$60,0),MATCH($BQ$58,$A$59:$H$59,0))*고양시_Modal_split!J$3 * 0.01</f>
        <v>0.55724749385251382</v>
      </c>
      <c r="BY60" s="207">
        <f>INDEX($A$59:$H$60,MATCH($L60,$B$59:$B$60,0),MATCH($BQ$58,$A$59:$H$59,0))*고양시_Modal_split!K$3 * 0.01</f>
        <v>2.7459633402719141E-3</v>
      </c>
      <c r="BZ60" s="207">
        <f>INDEX($A$59:$H$60,MATCH($L60,$B$59:$B$60,0),MATCH($BQ$58,$A$59:$H$59,0))*고양시_Modal_split!L$3 * 0.01</f>
        <v>5.5285395250807876E-2</v>
      </c>
      <c r="CA60" s="207">
        <f>INDEX($A$59:$H$60,MATCH($L60,$B$59:$B$60,0),MATCH($BQ$58,$A$59:$H$59,0))*고양시_Modal_split!M$3 * 0.01</f>
        <v>4.2104771217502676E-3</v>
      </c>
      <c r="CB60" s="207">
        <f>INDEX($A$59:$H$60,MATCH($L60,$B$59:$B$60,0),MATCH($BQ$58,$A$59:$H$59,0))*고양시_Modal_split!N$3 * 0.01</f>
        <v>1.8306422268479427E-3</v>
      </c>
      <c r="CC60" s="207">
        <f>INDEX($A$59:$H$60,MATCH($L60,$B$59:$B$60,0),MATCH($BQ$58,$A$59:$H$59,0))*고양시_Modal_split!O$3 * 0.01</f>
        <v>3.2951560083262972E-3</v>
      </c>
      <c r="CD60" s="207">
        <f>INDEX($A$59:$H$60,MATCH($L60,$B$59:$B$60,0),MATCH($BQ$58,$A$59:$H$59,0))*고양시_Modal_split!P$3 * 0.01</f>
        <v>1.830642226847943</v>
      </c>
      <c r="CE60" s="304">
        <f>M60+AA60+AO60+BC60+BQ60</f>
        <v>17.999692779129223</v>
      </c>
      <c r="CF60" s="304">
        <f t="shared" ref="CF60:CR60" si="6">N60+AB60+AP60+BD60+BR60</f>
        <v>3023.3055407230263</v>
      </c>
      <c r="CG60" s="304">
        <f t="shared" si="6"/>
        <v>365.77947111873306</v>
      </c>
      <c r="CH60" s="304">
        <f t="shared" si="6"/>
        <v>589.48993851648208</v>
      </c>
      <c r="CI60" s="304">
        <f t="shared" si="6"/>
        <v>59.141847702853163</v>
      </c>
      <c r="CJ60" s="304">
        <f t="shared" si="6"/>
        <v>0.64284617068318661</v>
      </c>
      <c r="CK60" s="304">
        <f t="shared" si="6"/>
        <v>178.71123544992588</v>
      </c>
      <c r="CL60" s="304">
        <f t="shared" si="6"/>
        <v>1956.82374355962</v>
      </c>
      <c r="CM60" s="304">
        <f t="shared" si="6"/>
        <v>9.6426925602478004</v>
      </c>
      <c r="CN60" s="304">
        <f t="shared" si="6"/>
        <v>194.13954354632239</v>
      </c>
      <c r="CO60" s="304">
        <f t="shared" si="6"/>
        <v>14.785461925713291</v>
      </c>
      <c r="CP60" s="304">
        <f t="shared" si="6"/>
        <v>6.4284617068318655</v>
      </c>
      <c r="CQ60" s="304">
        <f t="shared" si="6"/>
        <v>11.571231072297357</v>
      </c>
      <c r="CR60" s="304">
        <f t="shared" si="6"/>
        <v>6428.4617068318657</v>
      </c>
      <c r="CS60" s="305">
        <f>H60-CR60</f>
        <v>0</v>
      </c>
      <c r="CV60" s="265"/>
      <c r="CW60" s="265" t="s">
        <v>743</v>
      </c>
      <c r="CX60" s="267">
        <f>INDEX($M$58:$Z$60,MATCH($CW60,$L$58:$L$60,0),MATCH(CX$59,$M$59:$Z$59,0))/INDEX(고양시_재차인원!$D$4:$H$35,MATCH("고양시",고양시_재차인원!$B$4:$B$35,0),MATCH($CX$58,고양시_재차인원!$D$4:$H$4,0))</f>
        <v>311.86866165754145</v>
      </c>
      <c r="CY60" s="267">
        <f>INDEX($M$58:$Z$60,MATCH($CW60,$L$58:$L$60,0),MATCH(CY$59,$M$59:$Z$59,0))/INDEX(고양시_재차인원!$K$4:$O$20,MATCH("경기도",고양시_재차인원!$K$4:$K$20,0),MATCH(CY$59,고양시_재차인원!$K$4:$O$4,0))</f>
        <v>2.5797232369430263E-3</v>
      </c>
      <c r="CZ60" s="267">
        <f>INDEX($M$58:$Z$60,MATCH($CW60,$L$58:$L$60,0),MATCH(CZ$59,$M$59:$Z$59,0))/INDEX(고양시_재차인원!$K$4:$O$20,MATCH("경기도",고양시_재차인원!$K$4:$K$20,0),MATCH(CZ$59,고양시_재차인원!$K$4:$O$4,0))</f>
        <v>0.71716305987016116</v>
      </c>
      <c r="DA60" s="267">
        <f>INDEX($M$58:$Z$60,MATCH($CW60,$L$58:$L$60,0),MATCH(DA$59,$M$59:$Z$59,0))/INDEX(고양시_재차인원!$D$4:$H$35,MATCH("고양시",고양시_재차인원!$B$4:$B$35,0),MATCH($CX$58,고양시_재차인원!$D$4:$H$4,0))</f>
        <v>20.026437554875081</v>
      </c>
      <c r="DB60" s="267">
        <f>INDEX($AA$58:$AN$60,MATCH($CW60,$L$58:$L$60,0),MATCH(DB$59,$AA$59:$AN$59,0))/INDEX(고양시_재차인원!$D$4:$H$35,MATCH("고양시",고양시_재차인원!$B$4:$B$35,0),MATCH($DB$58,고양시_재차인원!$D$4:$H$4,0))</f>
        <v>1792.8398467246582</v>
      </c>
      <c r="DC60" s="267">
        <f>INDEX($AA$58:$AN$60,MATCH($CW60,$L$58:$L$60,0),MATCH(DC$59,$AA$59:$AN$59,0))/INDEX(고양시_재차인원!$K$4:$O$20,MATCH("경기도",고양시_재차인원!$K$4:$K$20,0),MATCH(DC$59,고양시_재차인원!$K$4:$O$4,0))</f>
        <v>1.8669984829927704E-2</v>
      </c>
      <c r="DD60" s="267">
        <f>INDEX($AA$58:$AN$60,MATCH($CW60,$L$58:$L$60,0),MATCH(DD$59,$AA$59:$AN$59,0))/INDEX(고양시_재차인원!$K$4:$O$20,MATCH("경기도",고양시_재차인원!$K$4:$K$20,0),MATCH(DD$59,고양시_재차인원!$K$4:$O$4,0))</f>
        <v>5.190255782719901</v>
      </c>
      <c r="DE60" s="267">
        <f>INDEX($AA$58:$AN$60,MATCH($CW60,$L$58:$L$60,0),MATCH(DE$59,$AA$59:$AN$59,0))/INDEX(고양시_재차인원!$D$4:$H$35,MATCH("고양시",고양시_재차인원!$B$4:$B$35,0),MATCH($DB$58,고양시_재차인원!$D$4:$H$4,0))</f>
        <v>115.12601184581051</v>
      </c>
      <c r="DF60" s="267">
        <f>INDEX($AO$58:$BB$60,MATCH($CW60,$L$15:$L$17,0),MATCH(DF$59,$AO$59:$BB$59,0))/INDEX(고양시_재차인원!$D$4:$H$35,MATCH("고양시",고양시_재차인원!$B$4:$B$35,0),MATCH($DF$58,고양시_재차인원!$D$4:$H$4,0))</f>
        <v>111.55354303154505</v>
      </c>
      <c r="DG60" s="267">
        <f>INDEX($AO$58:$BB$60,MATCH($CW60,$L$15:$L$17,0),MATCH(DG$59,$AO$59:$BB$59,0))/INDEX(고양시_재차인원!$K$4:$O$20,MATCH("경기도",고양시_재차인원!$K$4:$K$20,0),MATCH(DG$59,고양시_재차인원!$K$4:$O$4,0))</f>
        <v>1.0710508175998793E-3</v>
      </c>
      <c r="DH60" s="267">
        <f>INDEX($AO$58:$BB$60,MATCH($CW60,$L$15:$L$17,0),MATCH(DH$59,$AO$59:$BB$59,0))/INDEX(고양시_재차인원!$K$4:$O$20,MATCH("경기도",고양시_재차인원!$K$4:$K$20,0),MATCH(DH$59,고양시_재차인원!$K$4:$O$4,0))</f>
        <v>0.29775212729276646</v>
      </c>
      <c r="DI60" s="267">
        <f>INDEX($AO$58:$BB$60,MATCH($CW60,$L$15:$L$17,0),MATCH(DI$59,$AO$59:$BB$59,0))/INDEX(고양시_재차인원!$D$4:$H$35,MATCH("고양시",고양시_재차인원!$B$4:$B$35,0),MATCH($DF$58,고양시_재차인원!$D$4:$H$4,0))</f>
        <v>7.1633361674519671</v>
      </c>
      <c r="DJ60" s="267">
        <f>INDEX($BC$58:$BP$60,MATCH($CW60,$L$58:$L$60,0),MATCH(DJ$59,$BC$59:$BP$59,0))/INDEX(고양시_재차인원!$D$4:$H$35,MATCH("고양시",고양시_재차인원!$B$4:$B$35,0),MATCH($DJ$58,고양시_재차인원!$D$4:$H$4,0))</f>
        <v>0.16757265038017435</v>
      </c>
      <c r="DK60" s="267">
        <f>INDEX($BC$58:$BP$60,MATCH($CW60,$L$58:$L$60,0),MATCH(DK$59,$BC$59:$BP$59,0))/INDEX(고양시_재차인원!$K$4:$O$20,MATCH("경기도",고양시_재차인원!$K$4:$K$20,0),MATCH(DK$59,고양시_재차인원!$K$4:$O$4,0))</f>
        <v>1.6831600067048847E-6</v>
      </c>
      <c r="DL60" s="267">
        <f>INDEX($BC$58:$BP$60,MATCH($CW60,$L$58:$L$60,0),MATCH(DL$59,$BC$59:$BP$59,0))/INDEX(고양시_재차인원!$K$4:$O$20,MATCH("경기도",고양시_재차인원!$K$4:$K$20,0),MATCH(DL$59,고양시_재차인원!$K$4:$O$4,0))</f>
        <v>4.6791848186395781E-4</v>
      </c>
      <c r="DM60" s="267">
        <f>INDEX($BC$58:$BP$60,MATCH($CW60,$L$58:$L$60,0),MATCH(DM$59,$BC$59:$BP$59,0))/INDEX(고양시_재차인원!$D$4:$H$35,MATCH("고양시",고양시_재차인원!$B$4:$B$35,0),MATCH($DJ$58,고양시_재차인원!$D$4:$H$4,0))</f>
        <v>1.0760565684629525E-2</v>
      </c>
      <c r="DN60" s="267">
        <f>INDEX($BQ$58:$CD$60,MATCH($CW60,$L$58:$L$60,0),MATCH(DN$59,$BQ$59:$CD$59,0))/INDEX(고양시_재차인원!$D$4:$H$35,MATCH("고양시",고양시_재차인원!$B$4:$B$35,0),MATCH($DN$58,고양시_재차인원!$D$4:$H$4,0))</f>
        <v>0.6832944756242757</v>
      </c>
      <c r="DO60" s="267">
        <f>INDEX($BQ$58:$CD$60,MATCH($CW60,$L$58:$L$60,0),MATCH(DO$59,$BQ$59:$CD$59,0))/INDEX(고양시_재차인원!$K$4:$O$20,MATCH("경기도",고양시_재차인원!$K$4:$K$20,0),MATCH(DO$59,고양시_재차인원!$K$4:$O$4,0))</f>
        <v>6.3586044697740293E-6</v>
      </c>
      <c r="DP60" s="267">
        <f>INDEX($BQ$58:$CD$60,MATCH($CW60,$L$58:$L$60,0),MATCH(DP$59,$BQ$59:$CD$59,0))/INDEX(고양시_재차인원!$K$4:$O$20,MATCH("경기도",고양시_재차인원!$K$4:$K$20,0),MATCH(DP$59,고양시_재차인원!$K$4:$O$4,0))</f>
        <v>1.7676920425971799E-3</v>
      </c>
      <c r="DQ60" s="267">
        <f>INDEX($BQ$58:$CD$60,MATCH($CW60,$L$58:$L$60,0),MATCH(DQ$59,$BQ$59:$CD$59,0))/INDEX(고양시_재차인원!$D$4:$H$35,MATCH("고양시",고양시_재차인원!$B$4:$B$35,0),MATCH($DN$58,고양시_재차인원!$D$4:$H$4,0))</f>
        <v>4.3877297818101485E-2</v>
      </c>
      <c r="DR60" s="270">
        <f>CX60+DB60+DF60+DJ60+DN60</f>
        <v>2217.1129185397485</v>
      </c>
      <c r="DS60" s="270">
        <f t="shared" ref="DS60:DU60" si="7">CY60+DC60+DG60+DK60+DO60</f>
        <v>2.232880064894709E-2</v>
      </c>
      <c r="DT60" s="270">
        <f>CZ60+DD60+DH60+DL60+DP60</f>
        <v>6.2074065804072909</v>
      </c>
      <c r="DU60" s="270">
        <f t="shared" si="7"/>
        <v>142.37042343164029</v>
      </c>
      <c r="DW60" s="278"/>
      <c r="DX60" s="278" t="s">
        <v>743</v>
      </c>
      <c r="DY60" s="281">
        <f>DR60+DU60</f>
        <v>2359.4833419713887</v>
      </c>
      <c r="DZ60" s="281">
        <f>DS60+DT60</f>
        <v>6.2297353810562379</v>
      </c>
      <c r="EB60" s="278"/>
      <c r="EC60" s="278" t="s">
        <v>743</v>
      </c>
      <c r="ED60" s="281">
        <f>DY60</f>
        <v>2359.4833419713887</v>
      </c>
      <c r="EE60" s="281">
        <f t="shared" ref="EE60" si="8">DZ60</f>
        <v>6.2297353810562379</v>
      </c>
      <c r="EL60" s="420" t="s">
        <v>728</v>
      </c>
      <c r="EM60" s="420"/>
      <c r="EN60" s="420"/>
      <c r="EO60" s="420"/>
      <c r="EP60" s="421">
        <v>849201</v>
      </c>
      <c r="EQ60" s="422">
        <f>ED67</f>
        <v>2359.4833419713887</v>
      </c>
      <c r="ER60" s="422">
        <f>EE67</f>
        <v>6.2297353810562379</v>
      </c>
      <c r="ES60">
        <v>0</v>
      </c>
      <c r="EV60" s="306" t="s">
        <v>728</v>
      </c>
      <c r="EW60" s="306"/>
      <c r="EX60" s="306"/>
      <c r="EY60" s="306"/>
      <c r="EZ60" s="307">
        <v>849301</v>
      </c>
      <c r="FA60" s="308">
        <f>EQ60*$EU$10</f>
        <v>2359.4833419713887</v>
      </c>
      <c r="FB60" s="308">
        <f t="shared" ref="FB60" si="9">ER60*$EU$10</f>
        <v>6.2297353810562379</v>
      </c>
    </row>
    <row r="61" spans="1:164">
      <c r="A61" s="205"/>
      <c r="B61" s="205"/>
      <c r="C61" s="201"/>
      <c r="D61" s="201"/>
      <c r="E61" s="201"/>
      <c r="F61" s="201"/>
      <c r="G61" s="201"/>
      <c r="H61" s="201"/>
      <c r="J61" s="230"/>
      <c r="K61" s="206"/>
      <c r="L61" s="206"/>
      <c r="M61" s="206"/>
      <c r="N61" s="206"/>
      <c r="O61" s="206"/>
      <c r="P61" s="206"/>
      <c r="Q61" s="206"/>
      <c r="R61" s="206"/>
      <c r="S61" s="206"/>
      <c r="T61" s="206"/>
      <c r="U61" s="206"/>
      <c r="V61" s="206"/>
      <c r="W61" s="206"/>
      <c r="X61" s="206"/>
      <c r="Y61" s="206"/>
      <c r="Z61" s="209"/>
      <c r="AA61" s="207"/>
      <c r="AB61" s="207"/>
      <c r="AC61" s="207"/>
      <c r="AD61" s="207"/>
      <c r="AE61" s="207"/>
      <c r="AF61" s="207"/>
      <c r="AG61" s="207"/>
      <c r="AH61" s="207"/>
      <c r="AI61" s="207"/>
      <c r="AJ61" s="207"/>
      <c r="AK61" s="207"/>
      <c r="AL61" s="207"/>
      <c r="AM61" s="207"/>
      <c r="AN61" s="207"/>
      <c r="AO61" s="303"/>
      <c r="AP61" s="303"/>
      <c r="AQ61" s="303"/>
      <c r="AR61" s="303"/>
      <c r="AS61" s="303"/>
      <c r="AT61" s="303"/>
      <c r="AU61" s="303"/>
      <c r="AV61" s="303"/>
      <c r="AW61" s="303"/>
      <c r="AX61" s="303"/>
      <c r="AY61" s="303"/>
      <c r="AZ61" s="303"/>
      <c r="BA61" s="207"/>
      <c r="BB61" s="207"/>
      <c r="BC61" s="207"/>
      <c r="BD61" s="207"/>
      <c r="BE61" s="207"/>
      <c r="BF61" s="207"/>
      <c r="BG61" s="207"/>
      <c r="BH61" s="207"/>
      <c r="BI61" s="207"/>
      <c r="BJ61" s="207"/>
      <c r="BK61" s="207"/>
      <c r="BL61" s="207"/>
      <c r="BM61" s="207"/>
      <c r="BN61" s="207"/>
      <c r="BO61" s="207"/>
      <c r="BP61" s="207"/>
      <c r="BQ61" s="207"/>
      <c r="BR61" s="207"/>
      <c r="BS61" s="207"/>
      <c r="BT61" s="207"/>
      <c r="BU61" s="207"/>
      <c r="BV61" s="207"/>
      <c r="BW61" s="207"/>
      <c r="BX61" s="207"/>
      <c r="BY61" s="207"/>
      <c r="BZ61" s="207"/>
      <c r="CA61" s="207"/>
      <c r="CB61" s="207"/>
      <c r="CC61" s="207"/>
      <c r="CD61" s="207"/>
      <c r="CE61" s="304"/>
      <c r="CF61" s="304"/>
      <c r="CG61" s="304"/>
      <c r="CH61" s="304"/>
      <c r="CI61" s="304"/>
      <c r="CJ61" s="304"/>
      <c r="CK61" s="304"/>
      <c r="CL61" s="304"/>
      <c r="CM61" s="304"/>
      <c r="CN61" s="304"/>
      <c r="CO61" s="304"/>
      <c r="CP61" s="304"/>
      <c r="CQ61" s="304"/>
      <c r="CR61" s="304"/>
      <c r="CS61" s="305"/>
      <c r="CV61" s="265"/>
      <c r="CW61" s="265"/>
      <c r="CX61" s="267"/>
      <c r="CY61" s="267"/>
      <c r="CZ61" s="267"/>
      <c r="DA61" s="267"/>
      <c r="DB61" s="267"/>
      <c r="DC61" s="267"/>
      <c r="DD61" s="267"/>
      <c r="DE61" s="267"/>
      <c r="DF61" s="267"/>
      <c r="DG61" s="267"/>
      <c r="DH61" s="267"/>
      <c r="DI61" s="267"/>
      <c r="DJ61" s="267"/>
      <c r="DK61" s="267"/>
      <c r="DL61" s="267"/>
      <c r="DM61" s="267"/>
      <c r="DN61" s="267"/>
      <c r="DO61" s="267"/>
      <c r="DP61" s="267"/>
      <c r="DQ61" s="267"/>
      <c r="DR61" s="270"/>
      <c r="DS61" s="270"/>
      <c r="DT61" s="270"/>
      <c r="DU61" s="270"/>
      <c r="DW61" s="278"/>
      <c r="DX61" s="278"/>
      <c r="DY61" s="281"/>
      <c r="DZ61" s="281"/>
      <c r="EB61" s="278"/>
      <c r="EC61" s="278"/>
      <c r="ED61" s="281"/>
      <c r="EE61" s="281"/>
      <c r="FH61" s="277"/>
    </row>
    <row r="62" spans="1:164">
      <c r="A62" s="205"/>
      <c r="B62" s="205"/>
      <c r="C62" s="201"/>
      <c r="D62" s="201"/>
      <c r="E62" s="201"/>
      <c r="F62" s="201"/>
      <c r="G62" s="201"/>
      <c r="H62" s="201"/>
      <c r="J62" s="230"/>
      <c r="K62" s="206"/>
      <c r="L62" s="206"/>
      <c r="M62" s="206"/>
      <c r="N62" s="206"/>
      <c r="O62" s="206"/>
      <c r="P62" s="206"/>
      <c r="Q62" s="206"/>
      <c r="R62" s="206"/>
      <c r="S62" s="206"/>
      <c r="T62" s="206"/>
      <c r="U62" s="206"/>
      <c r="V62" s="206"/>
      <c r="W62" s="206"/>
      <c r="X62" s="206"/>
      <c r="Y62" s="206"/>
      <c r="Z62" s="209"/>
      <c r="AA62" s="207"/>
      <c r="AB62" s="207"/>
      <c r="AC62" s="207"/>
      <c r="AD62" s="207"/>
      <c r="AE62" s="207"/>
      <c r="AF62" s="207"/>
      <c r="AG62" s="207"/>
      <c r="AH62" s="207"/>
      <c r="AI62" s="207"/>
      <c r="AJ62" s="207"/>
      <c r="AK62" s="207"/>
      <c r="AL62" s="207"/>
      <c r="AM62" s="207"/>
      <c r="AN62" s="207"/>
      <c r="AO62" s="303"/>
      <c r="AP62" s="303"/>
      <c r="AQ62" s="303"/>
      <c r="AR62" s="303"/>
      <c r="AS62" s="303"/>
      <c r="AT62" s="303"/>
      <c r="AU62" s="303"/>
      <c r="AV62" s="303"/>
      <c r="AW62" s="303"/>
      <c r="AX62" s="303"/>
      <c r="AY62" s="303"/>
      <c r="AZ62" s="303"/>
      <c r="BA62" s="207"/>
      <c r="BB62" s="207"/>
      <c r="BC62" s="207"/>
      <c r="BD62" s="207"/>
      <c r="BE62" s="207"/>
      <c r="BF62" s="207"/>
      <c r="BG62" s="207"/>
      <c r="BH62" s="207"/>
      <c r="BI62" s="207"/>
      <c r="BJ62" s="207"/>
      <c r="BK62" s="207"/>
      <c r="BL62" s="207"/>
      <c r="BM62" s="207"/>
      <c r="BN62" s="207"/>
      <c r="BO62" s="207"/>
      <c r="BP62" s="207"/>
      <c r="BQ62" s="207"/>
      <c r="BR62" s="207"/>
      <c r="BS62" s="207"/>
      <c r="BT62" s="207"/>
      <c r="BU62" s="207"/>
      <c r="BV62" s="207"/>
      <c r="BW62" s="207"/>
      <c r="BX62" s="207"/>
      <c r="BY62" s="207"/>
      <c r="BZ62" s="207"/>
      <c r="CA62" s="207"/>
      <c r="CB62" s="207"/>
      <c r="CC62" s="207"/>
      <c r="CD62" s="207"/>
      <c r="CE62" s="304"/>
      <c r="CF62" s="304"/>
      <c r="CG62" s="304"/>
      <c r="CH62" s="304"/>
      <c r="CI62" s="304"/>
      <c r="CJ62" s="304"/>
      <c r="CK62" s="304"/>
      <c r="CL62" s="304"/>
      <c r="CM62" s="304"/>
      <c r="CN62" s="304"/>
      <c r="CO62" s="304"/>
      <c r="CP62" s="304"/>
      <c r="CQ62" s="304"/>
      <c r="CR62" s="304"/>
      <c r="CS62" s="305"/>
      <c r="CV62" s="265"/>
      <c r="CW62" s="265"/>
      <c r="CX62" s="267"/>
      <c r="CY62" s="267"/>
      <c r="CZ62" s="267"/>
      <c r="DA62" s="267"/>
      <c r="DB62" s="267"/>
      <c r="DC62" s="267"/>
      <c r="DD62" s="267"/>
      <c r="DE62" s="267"/>
      <c r="DF62" s="267"/>
      <c r="DG62" s="267"/>
      <c r="DH62" s="267"/>
      <c r="DI62" s="267"/>
      <c r="DJ62" s="267"/>
      <c r="DK62" s="267"/>
      <c r="DL62" s="267"/>
      <c r="DM62" s="267"/>
      <c r="DN62" s="267"/>
      <c r="DO62" s="267"/>
      <c r="DP62" s="267"/>
      <c r="DQ62" s="267"/>
      <c r="DR62" s="270"/>
      <c r="DS62" s="270"/>
      <c r="DT62" s="270"/>
      <c r="DU62" s="270"/>
      <c r="DW62" s="278"/>
      <c r="DX62" s="278"/>
      <c r="DY62" s="281"/>
      <c r="DZ62" s="281"/>
      <c r="EB62" s="278"/>
      <c r="EC62" s="278"/>
      <c r="ED62" s="281"/>
      <c r="EE62" s="281"/>
      <c r="FH62" s="277"/>
    </row>
    <row r="63" spans="1:164">
      <c r="A63" s="205"/>
      <c r="B63" s="205"/>
      <c r="C63" s="201"/>
      <c r="D63" s="201"/>
      <c r="E63" s="201"/>
      <c r="F63" s="201"/>
      <c r="G63" s="201"/>
      <c r="H63" s="201"/>
      <c r="J63" s="230"/>
      <c r="K63" s="206"/>
      <c r="L63" s="206"/>
      <c r="M63" s="206"/>
      <c r="N63" s="206"/>
      <c r="O63" s="206"/>
      <c r="P63" s="206"/>
      <c r="Q63" s="206"/>
      <c r="R63" s="206"/>
      <c r="S63" s="206"/>
      <c r="T63" s="206"/>
      <c r="U63" s="206"/>
      <c r="V63" s="206"/>
      <c r="W63" s="206"/>
      <c r="X63" s="206"/>
      <c r="Y63" s="206"/>
      <c r="Z63" s="209"/>
      <c r="AA63" s="207"/>
      <c r="AB63" s="207"/>
      <c r="AC63" s="207"/>
      <c r="AD63" s="207"/>
      <c r="AE63" s="207"/>
      <c r="AF63" s="207"/>
      <c r="AG63" s="207"/>
      <c r="AH63" s="207"/>
      <c r="AI63" s="207"/>
      <c r="AJ63" s="207"/>
      <c r="AK63" s="207"/>
      <c r="AL63" s="207"/>
      <c r="AM63" s="207"/>
      <c r="AN63" s="207"/>
      <c r="AO63" s="303"/>
      <c r="AP63" s="303"/>
      <c r="AQ63" s="303"/>
      <c r="AR63" s="303"/>
      <c r="AS63" s="303"/>
      <c r="AT63" s="303"/>
      <c r="AU63" s="303"/>
      <c r="AV63" s="303"/>
      <c r="AW63" s="303"/>
      <c r="AX63" s="303"/>
      <c r="AY63" s="303"/>
      <c r="AZ63" s="303"/>
      <c r="BA63" s="207"/>
      <c r="BB63" s="207"/>
      <c r="BC63" s="207"/>
      <c r="BD63" s="207"/>
      <c r="BE63" s="207"/>
      <c r="BF63" s="207"/>
      <c r="BG63" s="207"/>
      <c r="BH63" s="207"/>
      <c r="BI63" s="207"/>
      <c r="BJ63" s="207"/>
      <c r="BK63" s="207"/>
      <c r="BL63" s="207"/>
      <c r="BM63" s="207"/>
      <c r="BN63" s="207"/>
      <c r="BO63" s="207"/>
      <c r="BP63" s="207"/>
      <c r="BQ63" s="207"/>
      <c r="BR63" s="207"/>
      <c r="BS63" s="207"/>
      <c r="BT63" s="207"/>
      <c r="BU63" s="207"/>
      <c r="BV63" s="207"/>
      <c r="BW63" s="207"/>
      <c r="BX63" s="207"/>
      <c r="BY63" s="207"/>
      <c r="BZ63" s="207"/>
      <c r="CA63" s="207"/>
      <c r="CB63" s="207"/>
      <c r="CC63" s="207"/>
      <c r="CD63" s="207"/>
      <c r="CE63" s="304"/>
      <c r="CF63" s="304"/>
      <c r="CG63" s="304"/>
      <c r="CH63" s="304"/>
      <c r="CI63" s="304"/>
      <c r="CJ63" s="304"/>
      <c r="CK63" s="304"/>
      <c r="CL63" s="304"/>
      <c r="CM63" s="304"/>
      <c r="CN63" s="304"/>
      <c r="CO63" s="304"/>
      <c r="CP63" s="304"/>
      <c r="CQ63" s="304"/>
      <c r="CR63" s="304"/>
      <c r="CS63" s="305"/>
      <c r="CV63" s="265"/>
      <c r="CW63" s="265"/>
      <c r="CX63" s="267"/>
      <c r="CY63" s="267"/>
      <c r="CZ63" s="267"/>
      <c r="DA63" s="267"/>
      <c r="DB63" s="267"/>
      <c r="DC63" s="267"/>
      <c r="DD63" s="267"/>
      <c r="DE63" s="267"/>
      <c r="DF63" s="267"/>
      <c r="DG63" s="267"/>
      <c r="DH63" s="267"/>
      <c r="DI63" s="267"/>
      <c r="DJ63" s="267"/>
      <c r="DK63" s="267"/>
      <c r="DL63" s="267"/>
      <c r="DM63" s="267"/>
      <c r="DN63" s="267"/>
      <c r="DO63" s="267"/>
      <c r="DP63" s="267"/>
      <c r="DQ63" s="267"/>
      <c r="DR63" s="270"/>
      <c r="DS63" s="270"/>
      <c r="DT63" s="270"/>
      <c r="DU63" s="270"/>
      <c r="DW63" s="278"/>
      <c r="DX63" s="278"/>
      <c r="DY63" s="281"/>
      <c r="DZ63" s="281"/>
      <c r="EB63" s="278"/>
      <c r="EC63" s="278"/>
      <c r="ED63" s="281"/>
      <c r="EE63" s="281"/>
      <c r="FH63" s="277"/>
    </row>
    <row r="64" spans="1:164">
      <c r="A64" s="205"/>
      <c r="B64" s="205"/>
      <c r="C64" s="201"/>
      <c r="D64" s="201"/>
      <c r="E64" s="201"/>
      <c r="F64" s="201"/>
      <c r="G64" s="201"/>
      <c r="H64" s="201"/>
      <c r="J64" s="230"/>
      <c r="K64" s="206"/>
      <c r="L64" s="206"/>
      <c r="M64" s="206"/>
      <c r="N64" s="206"/>
      <c r="O64" s="206"/>
      <c r="P64" s="206"/>
      <c r="Q64" s="206"/>
      <c r="R64" s="206"/>
      <c r="S64" s="206"/>
      <c r="T64" s="206"/>
      <c r="U64" s="206"/>
      <c r="V64" s="206"/>
      <c r="W64" s="206"/>
      <c r="X64" s="206"/>
      <c r="Y64" s="206"/>
      <c r="Z64" s="209"/>
      <c r="AA64" s="207"/>
      <c r="AB64" s="207"/>
      <c r="AC64" s="207"/>
      <c r="AD64" s="207"/>
      <c r="AE64" s="207"/>
      <c r="AF64" s="207"/>
      <c r="AG64" s="207"/>
      <c r="AH64" s="207"/>
      <c r="AI64" s="207"/>
      <c r="AJ64" s="207"/>
      <c r="AK64" s="207"/>
      <c r="AL64" s="207"/>
      <c r="AM64" s="207"/>
      <c r="AN64" s="207"/>
      <c r="AO64" s="303"/>
      <c r="AP64" s="303"/>
      <c r="AQ64" s="303"/>
      <c r="AR64" s="303"/>
      <c r="AS64" s="303"/>
      <c r="AT64" s="303"/>
      <c r="AU64" s="303"/>
      <c r="AV64" s="303"/>
      <c r="AW64" s="303"/>
      <c r="AX64" s="303"/>
      <c r="AY64" s="303"/>
      <c r="AZ64" s="303"/>
      <c r="BA64" s="207"/>
      <c r="BB64" s="207"/>
      <c r="BC64" s="207"/>
      <c r="BD64" s="207"/>
      <c r="BE64" s="207"/>
      <c r="BF64" s="207"/>
      <c r="BG64" s="207"/>
      <c r="BH64" s="207"/>
      <c r="BI64" s="207"/>
      <c r="BJ64" s="207"/>
      <c r="BK64" s="207"/>
      <c r="BL64" s="207"/>
      <c r="BM64" s="207"/>
      <c r="BN64" s="207"/>
      <c r="BO64" s="207"/>
      <c r="BP64" s="207"/>
      <c r="BQ64" s="207"/>
      <c r="BR64" s="207"/>
      <c r="BS64" s="207"/>
      <c r="BT64" s="207"/>
      <c r="BU64" s="207"/>
      <c r="BV64" s="207"/>
      <c r="BW64" s="207"/>
      <c r="BX64" s="207"/>
      <c r="BY64" s="207"/>
      <c r="BZ64" s="207"/>
      <c r="CA64" s="207"/>
      <c r="CB64" s="207"/>
      <c r="CC64" s="207"/>
      <c r="CD64" s="207"/>
      <c r="CE64" s="304"/>
      <c r="CF64" s="304"/>
      <c r="CG64" s="304"/>
      <c r="CH64" s="304"/>
      <c r="CI64" s="304"/>
      <c r="CJ64" s="304"/>
      <c r="CK64" s="304"/>
      <c r="CL64" s="304"/>
      <c r="CM64" s="304"/>
      <c r="CN64" s="304"/>
      <c r="CO64" s="304"/>
      <c r="CP64" s="304"/>
      <c r="CQ64" s="304"/>
      <c r="CR64" s="304"/>
      <c r="CS64" s="305"/>
      <c r="CV64" s="265"/>
      <c r="CW64" s="265"/>
      <c r="CX64" s="267"/>
      <c r="CY64" s="267"/>
      <c r="CZ64" s="267"/>
      <c r="DA64" s="267"/>
      <c r="DB64" s="267"/>
      <c r="DC64" s="267"/>
      <c r="DD64" s="267"/>
      <c r="DE64" s="267"/>
      <c r="DF64" s="267"/>
      <c r="DG64" s="267"/>
      <c r="DH64" s="267"/>
      <c r="DI64" s="267"/>
      <c r="DJ64" s="267"/>
      <c r="DK64" s="267"/>
      <c r="DL64" s="267"/>
      <c r="DM64" s="267"/>
      <c r="DN64" s="267"/>
      <c r="DO64" s="267"/>
      <c r="DP64" s="267"/>
      <c r="DQ64" s="267"/>
      <c r="DR64" s="270"/>
      <c r="DS64" s="270"/>
      <c r="DT64" s="270"/>
      <c r="DU64" s="270"/>
      <c r="DW64" s="278"/>
      <c r="DX64" s="278"/>
      <c r="DY64" s="281"/>
      <c r="DZ64" s="281"/>
      <c r="EB64" s="278"/>
      <c r="EC64" s="278"/>
      <c r="ED64" s="281"/>
      <c r="EE64" s="281"/>
      <c r="FH64" s="277"/>
    </row>
    <row r="65" spans="1:164">
      <c r="A65" s="205"/>
      <c r="B65" s="205"/>
      <c r="C65" s="201"/>
      <c r="D65" s="201"/>
      <c r="E65" s="201"/>
      <c r="F65" s="201"/>
      <c r="G65" s="201"/>
      <c r="H65" s="201"/>
      <c r="K65" s="206"/>
      <c r="L65" s="206"/>
      <c r="M65" s="206"/>
      <c r="N65" s="206"/>
      <c r="O65" s="206"/>
      <c r="P65" s="206"/>
      <c r="Q65" s="206"/>
      <c r="R65" s="206"/>
      <c r="S65" s="206"/>
      <c r="T65" s="206"/>
      <c r="U65" s="206"/>
      <c r="V65" s="206"/>
      <c r="W65" s="206"/>
      <c r="X65" s="206"/>
      <c r="Y65" s="206"/>
      <c r="Z65" s="209"/>
      <c r="AA65" s="207"/>
      <c r="AB65" s="207"/>
      <c r="AC65" s="207"/>
      <c r="AD65" s="207"/>
      <c r="AE65" s="207"/>
      <c r="AF65" s="207"/>
      <c r="AG65" s="207"/>
      <c r="AH65" s="207"/>
      <c r="AI65" s="207"/>
      <c r="AJ65" s="207"/>
      <c r="AK65" s="207"/>
      <c r="AL65" s="207"/>
      <c r="AM65" s="207"/>
      <c r="AN65" s="207"/>
      <c r="AO65" s="303"/>
      <c r="AP65" s="303"/>
      <c r="AQ65" s="303"/>
      <c r="AR65" s="303"/>
      <c r="AS65" s="303"/>
      <c r="AT65" s="303"/>
      <c r="AU65" s="303"/>
      <c r="AV65" s="303"/>
      <c r="AW65" s="303"/>
      <c r="AX65" s="303"/>
      <c r="AY65" s="303"/>
      <c r="AZ65" s="303"/>
      <c r="BA65" s="207"/>
      <c r="BB65" s="207"/>
      <c r="BC65" s="207"/>
      <c r="BD65" s="207"/>
      <c r="BE65" s="207"/>
      <c r="BF65" s="207"/>
      <c r="BG65" s="207"/>
      <c r="BH65" s="207"/>
      <c r="BI65" s="207"/>
      <c r="BJ65" s="207"/>
      <c r="BK65" s="207"/>
      <c r="BL65" s="207"/>
      <c r="BM65" s="207"/>
      <c r="BN65" s="207"/>
      <c r="BO65" s="207"/>
      <c r="BP65" s="207"/>
      <c r="BQ65" s="207"/>
      <c r="BR65" s="207"/>
      <c r="BS65" s="207"/>
      <c r="BT65" s="207"/>
      <c r="BU65" s="207"/>
      <c r="BV65" s="207"/>
      <c r="BW65" s="207"/>
      <c r="BX65" s="207"/>
      <c r="BY65" s="207"/>
      <c r="BZ65" s="207"/>
      <c r="CA65" s="207"/>
      <c r="CB65" s="207"/>
      <c r="CC65" s="207"/>
      <c r="CD65" s="207"/>
      <c r="CE65" s="304"/>
      <c r="CF65" s="304"/>
      <c r="CG65" s="304"/>
      <c r="CH65" s="304"/>
      <c r="CI65" s="304"/>
      <c r="CJ65" s="304"/>
      <c r="CK65" s="304"/>
      <c r="CL65" s="304"/>
      <c r="CM65" s="304"/>
      <c r="CN65" s="304"/>
      <c r="CO65" s="304"/>
      <c r="CP65" s="304"/>
      <c r="CQ65" s="304"/>
      <c r="CR65" s="304"/>
      <c r="CS65" s="305"/>
      <c r="CV65" s="267"/>
      <c r="CW65" s="267"/>
      <c r="CX65" s="267"/>
      <c r="CY65" s="267"/>
      <c r="CZ65" s="267"/>
      <c r="DA65" s="267"/>
      <c r="DB65" s="267"/>
      <c r="DC65" s="267"/>
      <c r="DD65" s="267"/>
      <c r="DE65" s="267"/>
      <c r="DF65" s="267"/>
      <c r="DG65" s="267"/>
      <c r="DH65" s="267"/>
      <c r="DI65" s="267"/>
      <c r="DJ65" s="267"/>
      <c r="DK65" s="267"/>
      <c r="DL65" s="267"/>
      <c r="DM65" s="267"/>
      <c r="DN65" s="267"/>
      <c r="DO65" s="267"/>
      <c r="DP65" s="267"/>
      <c r="DQ65" s="267"/>
      <c r="DR65" s="270"/>
      <c r="DS65" s="270"/>
      <c r="DT65" s="270"/>
      <c r="DU65" s="270"/>
      <c r="DW65" s="278"/>
      <c r="DX65" s="278"/>
      <c r="DY65" s="281"/>
      <c r="DZ65" s="281"/>
      <c r="EB65" s="278"/>
      <c r="EC65" s="278"/>
      <c r="ED65" s="281"/>
      <c r="EE65" s="281"/>
      <c r="FH65" s="277"/>
    </row>
    <row r="66" spans="1:164">
      <c r="A66" s="205"/>
      <c r="B66" s="205"/>
      <c r="C66" s="201"/>
      <c r="D66" s="201"/>
      <c r="E66" s="201"/>
      <c r="F66" s="201"/>
      <c r="G66" s="201"/>
      <c r="H66" s="201"/>
      <c r="I66" s="56"/>
      <c r="J66" s="56"/>
      <c r="K66" s="206"/>
      <c r="L66" s="206"/>
      <c r="M66" s="206"/>
      <c r="N66" s="206"/>
      <c r="O66" s="206"/>
      <c r="P66" s="206"/>
      <c r="Q66" s="206"/>
      <c r="R66" s="206"/>
      <c r="S66" s="206"/>
      <c r="T66" s="206"/>
      <c r="U66" s="206"/>
      <c r="V66" s="206"/>
      <c r="W66" s="206"/>
      <c r="X66" s="206"/>
      <c r="Y66" s="206"/>
      <c r="Z66" s="209"/>
      <c r="AA66" s="207"/>
      <c r="AB66" s="207"/>
      <c r="AC66" s="207"/>
      <c r="AD66" s="207"/>
      <c r="AE66" s="207"/>
      <c r="AF66" s="207"/>
      <c r="AG66" s="207"/>
      <c r="AH66" s="207"/>
      <c r="AI66" s="207"/>
      <c r="AJ66" s="207"/>
      <c r="AK66" s="207"/>
      <c r="AL66" s="207"/>
      <c r="AM66" s="207"/>
      <c r="AN66" s="207"/>
      <c r="AO66" s="303"/>
      <c r="AP66" s="303"/>
      <c r="AQ66" s="303"/>
      <c r="AR66" s="303"/>
      <c r="AS66" s="303"/>
      <c r="AT66" s="303"/>
      <c r="AU66" s="303"/>
      <c r="AV66" s="303"/>
      <c r="AW66" s="303"/>
      <c r="AX66" s="303"/>
      <c r="AY66" s="303"/>
      <c r="AZ66" s="303"/>
      <c r="BA66" s="207"/>
      <c r="BB66" s="207"/>
      <c r="BC66" s="207"/>
      <c r="BD66" s="207"/>
      <c r="BE66" s="207"/>
      <c r="BF66" s="207"/>
      <c r="BG66" s="207"/>
      <c r="BH66" s="207"/>
      <c r="BI66" s="207"/>
      <c r="BJ66" s="207"/>
      <c r="BK66" s="207"/>
      <c r="BL66" s="207"/>
      <c r="BM66" s="207"/>
      <c r="BN66" s="207"/>
      <c r="BO66" s="207"/>
      <c r="BP66" s="207"/>
      <c r="BQ66" s="207"/>
      <c r="BR66" s="207"/>
      <c r="BS66" s="207"/>
      <c r="BT66" s="207"/>
      <c r="BU66" s="207"/>
      <c r="BV66" s="207"/>
      <c r="BW66" s="207"/>
      <c r="BX66" s="207"/>
      <c r="BY66" s="207"/>
      <c r="BZ66" s="207"/>
      <c r="CA66" s="207"/>
      <c r="CB66" s="207"/>
      <c r="CC66" s="207"/>
      <c r="CD66" s="207"/>
      <c r="CE66" s="304"/>
      <c r="CF66" s="304"/>
      <c r="CG66" s="304"/>
      <c r="CH66" s="304"/>
      <c r="CI66" s="304"/>
      <c r="CJ66" s="304"/>
      <c r="CK66" s="304"/>
      <c r="CL66" s="304"/>
      <c r="CM66" s="304"/>
      <c r="CN66" s="304"/>
      <c r="CO66" s="304"/>
      <c r="CP66" s="304"/>
      <c r="CQ66" s="304"/>
      <c r="CR66" s="304"/>
      <c r="CS66" s="305"/>
      <c r="CV66" s="267"/>
      <c r="CW66" s="267"/>
      <c r="CX66" s="267"/>
      <c r="CY66" s="267"/>
      <c r="CZ66" s="267"/>
      <c r="DA66" s="267"/>
      <c r="DB66" s="267"/>
      <c r="DC66" s="267"/>
      <c r="DD66" s="267"/>
      <c r="DE66" s="267"/>
      <c r="DF66" s="267"/>
      <c r="DG66" s="267"/>
      <c r="DH66" s="267"/>
      <c r="DI66" s="267"/>
      <c r="DJ66" s="267"/>
      <c r="DK66" s="267"/>
      <c r="DL66" s="267"/>
      <c r="DM66" s="267"/>
      <c r="DN66" s="267"/>
      <c r="DO66" s="267"/>
      <c r="DP66" s="267"/>
      <c r="DQ66" s="267"/>
      <c r="DR66" s="270"/>
      <c r="DS66" s="270"/>
      <c r="DT66" s="270"/>
      <c r="DU66" s="270"/>
      <c r="DW66" s="278"/>
      <c r="DX66" s="278"/>
      <c r="DY66" s="281"/>
      <c r="DZ66" s="281"/>
      <c r="EB66" s="278"/>
      <c r="EC66" s="278"/>
      <c r="ED66" s="281"/>
      <c r="EE66" s="281"/>
      <c r="FH66" s="277"/>
    </row>
    <row r="67" spans="1:164">
      <c r="H67">
        <f>SUM(H60:H66)</f>
        <v>6428.4617068318666</v>
      </c>
      <c r="I67" t="b">
        <f>H67=L7*(1+KTDB_발생량도착량_증가율!C8*5)</f>
        <v>0</v>
      </c>
      <c r="DX67" s="278" t="s">
        <v>26</v>
      </c>
      <c r="DY67" s="281">
        <f>SUM(DY60:DY66)</f>
        <v>2359.4833419713887</v>
      </c>
      <c r="DZ67" s="281">
        <f>SUM(DZ60:DZ66)</f>
        <v>6.2297353810562379</v>
      </c>
      <c r="EC67" s="278" t="s">
        <v>26</v>
      </c>
      <c r="ED67" s="281">
        <f>DY67</f>
        <v>2359.4833419713887</v>
      </c>
      <c r="EE67" s="281">
        <f>DZ67</f>
        <v>6.2297353810562379</v>
      </c>
    </row>
  </sheetData>
  <mergeCells count="34">
    <mergeCell ref="B4:C4"/>
    <mergeCell ref="D4:E4"/>
    <mergeCell ref="H4:I4"/>
    <mergeCell ref="J4:K4"/>
    <mergeCell ref="L4:M4"/>
    <mergeCell ref="F4:G4"/>
    <mergeCell ref="DR15:DU15"/>
    <mergeCell ref="M15:Z15"/>
    <mergeCell ref="AA15:AN15"/>
    <mergeCell ref="AO15:BB15"/>
    <mergeCell ref="BC15:BP15"/>
    <mergeCell ref="BQ15:CD15"/>
    <mergeCell ref="CE15:CR15"/>
    <mergeCell ref="ED58:EE58"/>
    <mergeCell ref="DY15:DZ15"/>
    <mergeCell ref="ED15:EE15"/>
    <mergeCell ref="M58:Z58"/>
    <mergeCell ref="AA58:AN58"/>
    <mergeCell ref="AO58:BB58"/>
    <mergeCell ref="BC58:BP58"/>
    <mergeCell ref="BQ58:CD58"/>
    <mergeCell ref="CE58:CR58"/>
    <mergeCell ref="CX58:DA58"/>
    <mergeCell ref="DB58:DE58"/>
    <mergeCell ref="CX15:DA15"/>
    <mergeCell ref="DB15:DE15"/>
    <mergeCell ref="DF15:DI15"/>
    <mergeCell ref="DJ15:DM15"/>
    <mergeCell ref="DN15:DQ15"/>
    <mergeCell ref="DF58:DI58"/>
    <mergeCell ref="DJ58:DM58"/>
    <mergeCell ref="DN58:DQ58"/>
    <mergeCell ref="DR58:DU58"/>
    <mergeCell ref="DY58:DZ58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H87"/>
  <sheetViews>
    <sheetView topLeftCell="DU34" zoomScale="70" zoomScaleNormal="70" workbookViewId="0">
      <selection activeCell="EU65" sqref="EU65"/>
    </sheetView>
  </sheetViews>
  <sheetFormatPr defaultRowHeight="17"/>
  <cols>
    <col min="1" max="1" width="33.08203125" customWidth="1"/>
    <col min="2" max="14" width="8.83203125" customWidth="1"/>
    <col min="26" max="26" width="10.6640625" bestFit="1" customWidth="1"/>
    <col min="27" max="27" width="10.08203125" bestFit="1" customWidth="1"/>
  </cols>
  <sheetData>
    <row r="1" spans="1:33">
      <c r="A1" s="32" t="s">
        <v>234</v>
      </c>
      <c r="B1" t="s">
        <v>400</v>
      </c>
      <c r="V1" s="32" t="s">
        <v>242</v>
      </c>
      <c r="W1" t="s">
        <v>241</v>
      </c>
    </row>
    <row r="2" spans="1:33">
      <c r="B2" t="s">
        <v>153</v>
      </c>
      <c r="C2" t="s">
        <v>399</v>
      </c>
      <c r="W2" t="s">
        <v>239</v>
      </c>
    </row>
    <row r="3" spans="1:33">
      <c r="B3" t="s">
        <v>401</v>
      </c>
      <c r="W3" t="s">
        <v>238</v>
      </c>
    </row>
    <row r="5" spans="1:33" ht="51.5" thickBot="1">
      <c r="A5" s="163" t="s">
        <v>696</v>
      </c>
      <c r="B5" t="s">
        <v>697</v>
      </c>
    </row>
    <row r="6" spans="1:33" ht="24" thickTop="1" thickBot="1">
      <c r="A6" s="448" t="s">
        <v>699</v>
      </c>
      <c r="B6" s="449"/>
      <c r="C6" s="457" t="s">
        <v>686</v>
      </c>
      <c r="D6" s="452" t="s">
        <v>687</v>
      </c>
      <c r="E6" s="453"/>
      <c r="F6" s="454"/>
      <c r="H6" s="351"/>
      <c r="K6" t="s">
        <v>698</v>
      </c>
      <c r="M6" t="s">
        <v>724</v>
      </c>
      <c r="N6" t="s">
        <v>725</v>
      </c>
      <c r="T6" t="s">
        <v>422</v>
      </c>
      <c r="AB6" s="459" t="s">
        <v>160</v>
      </c>
      <c r="AC6" s="460"/>
      <c r="AD6" s="345" t="s">
        <v>22</v>
      </c>
      <c r="AE6" s="346">
        <v>2814</v>
      </c>
      <c r="AF6" s="346">
        <v>15530</v>
      </c>
      <c r="AG6" s="347">
        <v>18344</v>
      </c>
    </row>
    <row r="7" spans="1:33" ht="18" thickTop="1" thickBot="1">
      <c r="A7" s="450"/>
      <c r="B7" s="451"/>
      <c r="C7" s="458"/>
      <c r="D7" s="336" t="s">
        <v>9</v>
      </c>
      <c r="E7" s="336" t="s">
        <v>10</v>
      </c>
      <c r="F7" s="337" t="s">
        <v>11</v>
      </c>
      <c r="N7" t="s">
        <v>9</v>
      </c>
      <c r="O7" t="s">
        <v>10</v>
      </c>
      <c r="P7" t="s">
        <v>11</v>
      </c>
      <c r="T7" s="472" t="s">
        <v>175</v>
      </c>
      <c r="U7" s="473"/>
      <c r="V7" s="474"/>
      <c r="W7" s="173" t="s">
        <v>156</v>
      </c>
      <c r="X7" s="174" t="s">
        <v>157</v>
      </c>
      <c r="Y7" t="s">
        <v>258</v>
      </c>
      <c r="Z7" t="s">
        <v>424</v>
      </c>
      <c r="AB7" s="448" t="s">
        <v>705</v>
      </c>
      <c r="AC7" s="449"/>
      <c r="AD7" s="335" t="s">
        <v>691</v>
      </c>
      <c r="AE7" s="452" t="s">
        <v>687</v>
      </c>
      <c r="AF7" s="453"/>
      <c r="AG7" s="454"/>
    </row>
    <row r="8" spans="1:33" ht="30" thickTop="1" thickBot="1">
      <c r="A8" s="331" t="s">
        <v>701</v>
      </c>
      <c r="B8" s="177" t="s">
        <v>688</v>
      </c>
      <c r="C8" s="338">
        <v>19865.32</v>
      </c>
      <c r="D8" s="339">
        <f>N8/2</f>
        <v>431</v>
      </c>
      <c r="E8" s="339">
        <f t="shared" ref="E8:E10" si="0">O8/2</f>
        <v>453</v>
      </c>
      <c r="F8" s="340">
        <f t="shared" ref="F8:F10" si="1">P8/2</f>
        <v>884</v>
      </c>
      <c r="K8" t="s">
        <v>700</v>
      </c>
      <c r="L8" t="s">
        <v>706</v>
      </c>
      <c r="M8">
        <v>19865.32</v>
      </c>
      <c r="N8">
        <v>862</v>
      </c>
      <c r="O8">
        <v>906</v>
      </c>
      <c r="P8">
        <v>1768</v>
      </c>
      <c r="T8" s="475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  <c r="AB8" s="450"/>
      <c r="AC8" s="451"/>
      <c r="AD8" s="349" t="s">
        <v>690</v>
      </c>
      <c r="AE8" s="336" t="s">
        <v>9</v>
      </c>
      <c r="AF8" s="336" t="s">
        <v>10</v>
      </c>
      <c r="AG8" s="337" t="s">
        <v>11</v>
      </c>
    </row>
    <row r="9" spans="1:33" ht="17.5" thickTop="1">
      <c r="A9" s="330" t="s">
        <v>700</v>
      </c>
      <c r="B9" s="180" t="s">
        <v>14</v>
      </c>
      <c r="C9" s="341">
        <v>26730.62</v>
      </c>
      <c r="D9" s="342">
        <f t="shared" ref="D9:D10" si="2">N9/2</f>
        <v>819</v>
      </c>
      <c r="E9" s="342">
        <f t="shared" si="0"/>
        <v>5665</v>
      </c>
      <c r="F9" s="343">
        <f t="shared" si="1"/>
        <v>6484</v>
      </c>
      <c r="K9" t="s">
        <v>700</v>
      </c>
      <c r="L9" t="s">
        <v>14</v>
      </c>
      <c r="M9">
        <v>26730.62</v>
      </c>
      <c r="N9">
        <v>1638</v>
      </c>
      <c r="O9">
        <v>11330</v>
      </c>
      <c r="P9">
        <v>12968</v>
      </c>
      <c r="T9" s="466"/>
      <c r="U9" s="176" t="s">
        <v>415</v>
      </c>
      <c r="V9" s="180" t="s">
        <v>10</v>
      </c>
      <c r="W9" s="167">
        <v>2.25</v>
      </c>
      <c r="X9" s="168">
        <v>2.09</v>
      </c>
    </row>
    <row r="10" spans="1:33" ht="29.5" thickBot="1">
      <c r="A10" s="14" t="s">
        <v>700</v>
      </c>
      <c r="B10" s="180" t="s">
        <v>689</v>
      </c>
      <c r="C10" s="341">
        <v>26730.62</v>
      </c>
      <c r="D10" s="344">
        <f t="shared" si="2"/>
        <v>157</v>
      </c>
      <c r="E10" s="342">
        <f t="shared" si="0"/>
        <v>1647</v>
      </c>
      <c r="F10" s="343">
        <f t="shared" si="1"/>
        <v>1804</v>
      </c>
      <c r="K10" t="s">
        <v>700</v>
      </c>
      <c r="L10" t="s">
        <v>707</v>
      </c>
      <c r="M10">
        <v>26730.62</v>
      </c>
      <c r="N10">
        <v>314</v>
      </c>
      <c r="O10">
        <v>3294</v>
      </c>
      <c r="P10">
        <v>3608</v>
      </c>
      <c r="T10" s="466"/>
      <c r="U10" s="313" t="s">
        <v>168</v>
      </c>
      <c r="V10" s="468" t="s">
        <v>10</v>
      </c>
      <c r="W10" s="470">
        <v>1.55</v>
      </c>
      <c r="X10" s="461">
        <v>1</v>
      </c>
    </row>
    <row r="11" spans="1:33" ht="29.5" thickTop="1">
      <c r="A11" s="331" t="s">
        <v>703</v>
      </c>
      <c r="B11" s="177" t="s">
        <v>692</v>
      </c>
      <c r="C11" s="338">
        <v>12296.01</v>
      </c>
      <c r="D11" s="339">
        <f t="shared" ref="D11:F14" si="3">N14/2</f>
        <v>0</v>
      </c>
      <c r="E11" s="339">
        <f t="shared" si="3"/>
        <v>224</v>
      </c>
      <c r="F11" s="179">
        <f t="shared" si="3"/>
        <v>224</v>
      </c>
      <c r="K11" t="s">
        <v>160</v>
      </c>
      <c r="M11" t="s">
        <v>22</v>
      </c>
      <c r="N11">
        <v>2814</v>
      </c>
      <c r="O11">
        <v>15530</v>
      </c>
      <c r="P11">
        <v>18344</v>
      </c>
      <c r="T11" s="466"/>
      <c r="U11" s="176" t="s">
        <v>416</v>
      </c>
      <c r="V11" s="469"/>
      <c r="W11" s="471"/>
      <c r="X11" s="462"/>
    </row>
    <row r="12" spans="1:33" ht="17.5" customHeight="1">
      <c r="A12" s="330" t="s">
        <v>702</v>
      </c>
      <c r="B12" s="180" t="s">
        <v>693</v>
      </c>
      <c r="C12" s="341">
        <v>14081.18</v>
      </c>
      <c r="D12" s="344">
        <f t="shared" si="3"/>
        <v>431</v>
      </c>
      <c r="E12" s="342">
        <f t="shared" si="3"/>
        <v>2984</v>
      </c>
      <c r="F12" s="343">
        <f t="shared" si="3"/>
        <v>3415</v>
      </c>
      <c r="K12" t="s">
        <v>704</v>
      </c>
      <c r="M12" t="s">
        <v>726</v>
      </c>
      <c r="N12" t="s">
        <v>725</v>
      </c>
      <c r="T12" s="466"/>
      <c r="U12" s="313" t="s">
        <v>168</v>
      </c>
      <c r="V12" s="180" t="s">
        <v>9</v>
      </c>
      <c r="W12" s="167">
        <v>1.1599999999999999</v>
      </c>
      <c r="X12" s="168">
        <v>1</v>
      </c>
    </row>
    <row r="13" spans="1:33" ht="29">
      <c r="A13" s="348" t="s">
        <v>702</v>
      </c>
      <c r="B13" s="180" t="s">
        <v>689</v>
      </c>
      <c r="C13" s="341">
        <v>8497</v>
      </c>
      <c r="D13" s="344">
        <f t="shared" si="3"/>
        <v>50</v>
      </c>
      <c r="E13" s="342">
        <f t="shared" si="3"/>
        <v>524</v>
      </c>
      <c r="F13" s="343">
        <f t="shared" si="3"/>
        <v>574</v>
      </c>
      <c r="M13" t="s">
        <v>727</v>
      </c>
      <c r="N13" t="s">
        <v>9</v>
      </c>
      <c r="O13" t="s">
        <v>10</v>
      </c>
      <c r="P13" t="s">
        <v>11</v>
      </c>
      <c r="T13" s="466"/>
      <c r="U13" s="176" t="s">
        <v>417</v>
      </c>
      <c r="V13" s="180" t="s">
        <v>10</v>
      </c>
      <c r="W13" s="167">
        <v>1.57</v>
      </c>
      <c r="X13" s="168">
        <v>1.43</v>
      </c>
    </row>
    <row r="14" spans="1:33" ht="41">
      <c r="A14" s="348" t="s">
        <v>702</v>
      </c>
      <c r="B14" s="180" t="s">
        <v>694</v>
      </c>
      <c r="C14" s="350">
        <v>15000</v>
      </c>
      <c r="D14" s="344">
        <f t="shared" si="3"/>
        <v>300</v>
      </c>
      <c r="E14" s="342">
        <f t="shared" si="3"/>
        <v>8400</v>
      </c>
      <c r="F14" s="343">
        <f t="shared" si="3"/>
        <v>8700</v>
      </c>
      <c r="K14" t="s">
        <v>702</v>
      </c>
      <c r="L14" t="s">
        <v>708</v>
      </c>
      <c r="M14">
        <v>12296.01</v>
      </c>
      <c r="N14">
        <v>0</v>
      </c>
      <c r="O14">
        <v>448</v>
      </c>
      <c r="P14">
        <v>448</v>
      </c>
      <c r="T14" s="466"/>
      <c r="U14" s="463" t="s">
        <v>14</v>
      </c>
      <c r="V14" s="180" t="s">
        <v>9</v>
      </c>
      <c r="W14" s="167">
        <v>1.42</v>
      </c>
      <c r="X14" s="168">
        <v>1.41</v>
      </c>
    </row>
    <row r="15" spans="1:33">
      <c r="A15" s="14" t="s">
        <v>702</v>
      </c>
      <c r="K15" t="s">
        <v>702</v>
      </c>
      <c r="L15" t="s">
        <v>693</v>
      </c>
      <c r="M15">
        <v>14081.18</v>
      </c>
      <c r="N15">
        <v>862</v>
      </c>
      <c r="O15">
        <v>5968</v>
      </c>
      <c r="P15">
        <v>6830</v>
      </c>
      <c r="T15" s="466"/>
      <c r="U15" s="464"/>
      <c r="V15" s="180" t="s">
        <v>10</v>
      </c>
      <c r="W15" s="167">
        <v>1.82</v>
      </c>
      <c r="X15" s="168">
        <v>1.82</v>
      </c>
    </row>
    <row r="16" spans="1:33" ht="17.5" thickBot="1">
      <c r="A16" s="455" t="s">
        <v>695</v>
      </c>
      <c r="B16" s="456"/>
      <c r="C16" s="345" t="s">
        <v>22</v>
      </c>
      <c r="D16" s="346">
        <v>1562</v>
      </c>
      <c r="E16" s="346">
        <v>24264</v>
      </c>
      <c r="F16" s="347">
        <v>25826</v>
      </c>
      <c r="K16" t="s">
        <v>702</v>
      </c>
      <c r="L16" t="s">
        <v>707</v>
      </c>
      <c r="M16">
        <v>8497</v>
      </c>
      <c r="N16">
        <v>100</v>
      </c>
      <c r="O16">
        <v>1048</v>
      </c>
      <c r="P16">
        <v>1148</v>
      </c>
      <c r="T16" s="466"/>
      <c r="U16" s="313" t="s">
        <v>418</v>
      </c>
      <c r="V16" s="180" t="s">
        <v>9</v>
      </c>
      <c r="W16" s="167">
        <v>3.1</v>
      </c>
      <c r="X16" s="168">
        <v>2.31</v>
      </c>
    </row>
    <row r="17" spans="1:139" ht="17.5" thickTop="1">
      <c r="K17" t="s">
        <v>702</v>
      </c>
      <c r="L17" t="s">
        <v>709</v>
      </c>
      <c r="M17">
        <v>15000</v>
      </c>
      <c r="N17">
        <v>600</v>
      </c>
      <c r="O17">
        <v>16800</v>
      </c>
      <c r="P17">
        <v>17400</v>
      </c>
      <c r="T17" s="476"/>
      <c r="U17" s="176" t="s">
        <v>419</v>
      </c>
      <c r="V17" s="180" t="s">
        <v>10</v>
      </c>
      <c r="W17" s="167">
        <v>3.1</v>
      </c>
      <c r="X17" s="168">
        <v>2.31</v>
      </c>
    </row>
    <row r="18" spans="1:139" ht="24">
      <c r="T18" s="465" t="s">
        <v>420</v>
      </c>
      <c r="U18" s="313" t="s">
        <v>414</v>
      </c>
      <c r="V18" s="180" t="s">
        <v>9</v>
      </c>
      <c r="W18" s="167">
        <v>2.25</v>
      </c>
      <c r="X18" s="168">
        <v>2.09</v>
      </c>
    </row>
    <row r="19" spans="1:139">
      <c r="T19" s="466"/>
      <c r="U19" s="176" t="s">
        <v>415</v>
      </c>
      <c r="V19" s="180" t="s">
        <v>10</v>
      </c>
      <c r="W19" s="167">
        <v>2.25</v>
      </c>
      <c r="X19" s="168">
        <v>2.09</v>
      </c>
    </row>
    <row r="20" spans="1:139">
      <c r="T20" s="466"/>
      <c r="U20" s="313" t="s">
        <v>168</v>
      </c>
      <c r="V20" s="468" t="s">
        <v>10</v>
      </c>
      <c r="W20" s="470">
        <v>1.55</v>
      </c>
      <c r="X20" s="461">
        <v>1</v>
      </c>
    </row>
    <row r="21" spans="1:139">
      <c r="T21" s="466"/>
      <c r="U21" s="176" t="s">
        <v>416</v>
      </c>
      <c r="V21" s="469"/>
      <c r="W21" s="471"/>
      <c r="X21" s="462"/>
    </row>
    <row r="22" spans="1:139">
      <c r="T22" s="466"/>
      <c r="U22" s="313" t="s">
        <v>168</v>
      </c>
      <c r="V22" s="180" t="s">
        <v>9</v>
      </c>
      <c r="W22" s="167">
        <v>1.2</v>
      </c>
      <c r="X22" s="168">
        <v>1.25</v>
      </c>
    </row>
    <row r="23" spans="1:139" ht="29">
      <c r="T23" s="466"/>
      <c r="U23" s="176" t="s">
        <v>417</v>
      </c>
      <c r="V23" s="180" t="s">
        <v>10</v>
      </c>
      <c r="W23" s="167">
        <v>1.64</v>
      </c>
      <c r="X23" s="168">
        <v>1.67</v>
      </c>
    </row>
    <row r="24" spans="1:139">
      <c r="T24" s="466"/>
      <c r="U24" s="463" t="s">
        <v>14</v>
      </c>
      <c r="V24" s="180" t="s">
        <v>9</v>
      </c>
      <c r="W24" s="167">
        <v>1.43</v>
      </c>
      <c r="X24" s="168">
        <v>1.41</v>
      </c>
    </row>
    <row r="25" spans="1:139">
      <c r="T25" s="466"/>
      <c r="U25" s="464"/>
      <c r="V25" s="180" t="s">
        <v>10</v>
      </c>
      <c r="W25" s="167">
        <v>1.96</v>
      </c>
      <c r="X25" s="168">
        <v>1.91</v>
      </c>
    </row>
    <row r="26" spans="1:139">
      <c r="T26" s="466"/>
      <c r="U26" s="313" t="s">
        <v>418</v>
      </c>
      <c r="V26" s="180" t="s">
        <v>9</v>
      </c>
      <c r="W26" s="167">
        <v>3.5</v>
      </c>
      <c r="X26" s="168">
        <v>2.02</v>
      </c>
    </row>
    <row r="27" spans="1:139" ht="17.5" thickBot="1">
      <c r="T27" s="467"/>
      <c r="U27" s="182" t="s">
        <v>419</v>
      </c>
      <c r="V27" s="183" t="s">
        <v>10</v>
      </c>
      <c r="W27" s="184">
        <v>3.5</v>
      </c>
      <c r="X27" s="185">
        <v>2.02</v>
      </c>
      <c r="EI27" s="32" t="s">
        <v>863</v>
      </c>
    </row>
    <row r="28" spans="1:139" ht="17.5" thickTop="1">
      <c r="K28" s="403"/>
      <c r="L28" s="32" t="s">
        <v>851</v>
      </c>
      <c r="EH28" s="279"/>
      <c r="EI28" s="279" t="s">
        <v>601</v>
      </c>
    </row>
    <row r="29" spans="1:139">
      <c r="EH29" s="279" t="s">
        <v>602</v>
      </c>
      <c r="EI29" s="293">
        <v>1</v>
      </c>
    </row>
    <row r="32" spans="1:139" s="227" customFormat="1" ht="19.5">
      <c r="A32" s="329">
        <v>2025</v>
      </c>
      <c r="B32" s="282"/>
      <c r="C32" s="283"/>
      <c r="D32" s="284"/>
      <c r="E32" s="284"/>
      <c r="F32" s="284"/>
      <c r="G32" s="284"/>
      <c r="H32" s="284"/>
      <c r="I32" s="284"/>
      <c r="K32" s="282"/>
      <c r="L32" s="282"/>
      <c r="M32" s="283"/>
      <c r="N32" s="284"/>
      <c r="O32" s="284"/>
      <c r="P32" s="284"/>
      <c r="Q32" s="284"/>
      <c r="R32" s="284"/>
      <c r="S32" s="284"/>
    </row>
    <row r="33" spans="1:157" ht="23.5" thickBot="1">
      <c r="A33" s="32" t="s">
        <v>468</v>
      </c>
      <c r="C33" t="s">
        <v>463</v>
      </c>
      <c r="D33" t="s">
        <v>467</v>
      </c>
      <c r="E33" t="s">
        <v>470</v>
      </c>
      <c r="F33" t="s">
        <v>465</v>
      </c>
      <c r="G33" t="s">
        <v>466</v>
      </c>
      <c r="H33" t="s">
        <v>21</v>
      </c>
      <c r="K33" s="32" t="s">
        <v>471</v>
      </c>
      <c r="CV33" s="32" t="s">
        <v>492</v>
      </c>
      <c r="CY33" t="s">
        <v>478</v>
      </c>
      <c r="CZ33" t="s">
        <v>479</v>
      </c>
      <c r="EL33" s="353" t="s">
        <v>854</v>
      </c>
      <c r="EU33" s="353" t="s">
        <v>745</v>
      </c>
    </row>
    <row r="34" spans="1:157">
      <c r="A34" t="s">
        <v>462</v>
      </c>
      <c r="C34" t="s">
        <v>427</v>
      </c>
      <c r="D34" t="s">
        <v>428</v>
      </c>
      <c r="E34" t="s">
        <v>429</v>
      </c>
      <c r="F34" t="s">
        <v>430</v>
      </c>
      <c r="G34" t="s">
        <v>431</v>
      </c>
      <c r="H34" t="s">
        <v>457</v>
      </c>
      <c r="K34" s="159" t="s">
        <v>482</v>
      </c>
      <c r="L34" s="159"/>
      <c r="M34" s="443" t="s">
        <v>463</v>
      </c>
      <c r="N34" s="444"/>
      <c r="O34" s="444"/>
      <c r="P34" s="444"/>
      <c r="Q34" s="444"/>
      <c r="R34" s="444"/>
      <c r="S34" s="444"/>
      <c r="T34" s="444"/>
      <c r="U34" s="444"/>
      <c r="V34" s="444"/>
      <c r="W34" s="444"/>
      <c r="X34" s="444"/>
      <c r="Y34" s="444"/>
      <c r="Z34" s="445"/>
      <c r="AA34" s="443" t="s">
        <v>467</v>
      </c>
      <c r="AB34" s="444"/>
      <c r="AC34" s="444"/>
      <c r="AD34" s="444"/>
      <c r="AE34" s="444"/>
      <c r="AF34" s="444"/>
      <c r="AG34" s="444"/>
      <c r="AH34" s="444"/>
      <c r="AI34" s="444"/>
      <c r="AJ34" s="444"/>
      <c r="AK34" s="444"/>
      <c r="AL34" s="444"/>
      <c r="AM34" s="444"/>
      <c r="AN34" s="445"/>
      <c r="AO34" s="443" t="s">
        <v>464</v>
      </c>
      <c r="AP34" s="444"/>
      <c r="AQ34" s="444"/>
      <c r="AR34" s="444"/>
      <c r="AS34" s="444"/>
      <c r="AT34" s="444"/>
      <c r="AU34" s="444"/>
      <c r="AV34" s="444"/>
      <c r="AW34" s="444"/>
      <c r="AX34" s="444"/>
      <c r="AY34" s="444"/>
      <c r="AZ34" s="444"/>
      <c r="BA34" s="444"/>
      <c r="BB34" s="445"/>
      <c r="BC34" s="443" t="s">
        <v>465</v>
      </c>
      <c r="BD34" s="444"/>
      <c r="BE34" s="444"/>
      <c r="BF34" s="444"/>
      <c r="BG34" s="444"/>
      <c r="BH34" s="444"/>
      <c r="BI34" s="444"/>
      <c r="BJ34" s="444"/>
      <c r="BK34" s="444"/>
      <c r="BL34" s="444"/>
      <c r="BM34" s="444"/>
      <c r="BN34" s="444"/>
      <c r="BO34" s="444"/>
      <c r="BP34" s="445"/>
      <c r="BQ34" s="443" t="s">
        <v>466</v>
      </c>
      <c r="BR34" s="444"/>
      <c r="BS34" s="444"/>
      <c r="BT34" s="444"/>
      <c r="BU34" s="444"/>
      <c r="BV34" s="444"/>
      <c r="BW34" s="444"/>
      <c r="BX34" s="444"/>
      <c r="BY34" s="444"/>
      <c r="BZ34" s="444"/>
      <c r="CA34" s="444"/>
      <c r="CB34" s="444"/>
      <c r="CC34" s="444"/>
      <c r="CD34" s="445"/>
      <c r="CE34" s="443" t="s">
        <v>21</v>
      </c>
      <c r="CF34" s="444"/>
      <c r="CG34" s="444"/>
      <c r="CH34" s="444"/>
      <c r="CI34" s="444"/>
      <c r="CJ34" s="444"/>
      <c r="CK34" s="444"/>
      <c r="CL34" s="444"/>
      <c r="CM34" s="444"/>
      <c r="CN34" s="444"/>
      <c r="CO34" s="444"/>
      <c r="CP34" s="444"/>
      <c r="CQ34" s="444"/>
      <c r="CR34" s="445"/>
      <c r="CV34" s="263" t="s">
        <v>482</v>
      </c>
      <c r="CW34" s="263"/>
      <c r="CX34" s="446" t="s">
        <v>554</v>
      </c>
      <c r="CY34" s="439"/>
      <c r="CZ34" s="439"/>
      <c r="DA34" s="440"/>
      <c r="DB34" s="438" t="s">
        <v>553</v>
      </c>
      <c r="DC34" s="439"/>
      <c r="DD34" s="439"/>
      <c r="DE34" s="440"/>
      <c r="DF34" s="438" t="s">
        <v>464</v>
      </c>
      <c r="DG34" s="439"/>
      <c r="DH34" s="439"/>
      <c r="DI34" s="440"/>
      <c r="DJ34" s="438" t="s">
        <v>465</v>
      </c>
      <c r="DK34" s="439"/>
      <c r="DL34" s="439"/>
      <c r="DM34" s="440"/>
      <c r="DN34" s="438" t="s">
        <v>466</v>
      </c>
      <c r="DO34" s="439"/>
      <c r="DP34" s="439"/>
      <c r="DQ34" s="440"/>
      <c r="DR34" s="438" t="s">
        <v>21</v>
      </c>
      <c r="DS34" s="439"/>
      <c r="DT34" s="439"/>
      <c r="DU34" s="441"/>
      <c r="DW34" s="278"/>
      <c r="DX34" s="278"/>
      <c r="DY34" s="442" t="s">
        <v>588</v>
      </c>
      <c r="DZ34" s="442"/>
      <c r="EB34" s="278"/>
      <c r="EC34" s="278"/>
      <c r="ED34" s="442" t="s">
        <v>588</v>
      </c>
      <c r="EE34" s="442"/>
      <c r="EI34" t="s">
        <v>599</v>
      </c>
    </row>
    <row r="35" spans="1:157">
      <c r="A35" s="199"/>
      <c r="B35" s="199"/>
      <c r="C35" s="202" t="s">
        <v>463</v>
      </c>
      <c r="D35" s="202" t="s">
        <v>467</v>
      </c>
      <c r="E35" s="202" t="s">
        <v>464</v>
      </c>
      <c r="F35" s="202" t="s">
        <v>465</v>
      </c>
      <c r="G35" s="202" t="s">
        <v>558</v>
      </c>
      <c r="H35" s="202" t="s">
        <v>21</v>
      </c>
      <c r="K35" s="159"/>
      <c r="L35" s="159"/>
      <c r="M35" s="211" t="s">
        <v>472</v>
      </c>
      <c r="N35" s="160" t="s">
        <v>156</v>
      </c>
      <c r="O35" s="160" t="s">
        <v>475</v>
      </c>
      <c r="P35" s="160" t="s">
        <v>476</v>
      </c>
      <c r="Q35" s="160" t="s">
        <v>477</v>
      </c>
      <c r="R35" s="160" t="s">
        <v>478</v>
      </c>
      <c r="S35" s="160" t="s">
        <v>479</v>
      </c>
      <c r="T35" s="160" t="s">
        <v>480</v>
      </c>
      <c r="U35" s="160" t="s">
        <v>449</v>
      </c>
      <c r="V35" s="160" t="s">
        <v>157</v>
      </c>
      <c r="W35" s="160" t="s">
        <v>473</v>
      </c>
      <c r="X35" s="160" t="s">
        <v>474</v>
      </c>
      <c r="Y35" s="160" t="s">
        <v>46</v>
      </c>
      <c r="Z35" s="212" t="s">
        <v>11</v>
      </c>
      <c r="AA35" s="211" t="s">
        <v>472</v>
      </c>
      <c r="AB35" s="160" t="s">
        <v>156</v>
      </c>
      <c r="AC35" s="160" t="s">
        <v>475</v>
      </c>
      <c r="AD35" s="160" t="s">
        <v>476</v>
      </c>
      <c r="AE35" s="160" t="s">
        <v>477</v>
      </c>
      <c r="AF35" s="160" t="s">
        <v>478</v>
      </c>
      <c r="AG35" s="160" t="s">
        <v>479</v>
      </c>
      <c r="AH35" s="160" t="s">
        <v>480</v>
      </c>
      <c r="AI35" s="160" t="s">
        <v>449</v>
      </c>
      <c r="AJ35" s="160" t="s">
        <v>157</v>
      </c>
      <c r="AK35" s="160" t="s">
        <v>473</v>
      </c>
      <c r="AL35" s="160" t="s">
        <v>474</v>
      </c>
      <c r="AM35" s="160" t="s">
        <v>46</v>
      </c>
      <c r="AN35" s="212" t="s">
        <v>11</v>
      </c>
      <c r="AO35" s="211" t="s">
        <v>472</v>
      </c>
      <c r="AP35" s="160" t="s">
        <v>156</v>
      </c>
      <c r="AQ35" s="160" t="s">
        <v>475</v>
      </c>
      <c r="AR35" s="160" t="s">
        <v>476</v>
      </c>
      <c r="AS35" s="160" t="s">
        <v>477</v>
      </c>
      <c r="AT35" s="160" t="s">
        <v>478</v>
      </c>
      <c r="AU35" s="160" t="s">
        <v>479</v>
      </c>
      <c r="AV35" s="160" t="s">
        <v>480</v>
      </c>
      <c r="AW35" s="160" t="s">
        <v>449</v>
      </c>
      <c r="AX35" s="160" t="s">
        <v>157</v>
      </c>
      <c r="AY35" s="160" t="s">
        <v>473</v>
      </c>
      <c r="AZ35" s="160" t="s">
        <v>474</v>
      </c>
      <c r="BA35" s="160" t="s">
        <v>46</v>
      </c>
      <c r="BB35" s="212" t="s">
        <v>11</v>
      </c>
      <c r="BC35" s="211" t="s">
        <v>472</v>
      </c>
      <c r="BD35" s="160" t="s">
        <v>156</v>
      </c>
      <c r="BE35" s="160" t="s">
        <v>475</v>
      </c>
      <c r="BF35" s="160" t="s">
        <v>476</v>
      </c>
      <c r="BG35" s="160" t="s">
        <v>477</v>
      </c>
      <c r="BH35" s="160" t="s">
        <v>478</v>
      </c>
      <c r="BI35" s="160" t="s">
        <v>479</v>
      </c>
      <c r="BJ35" s="160" t="s">
        <v>480</v>
      </c>
      <c r="BK35" s="160" t="s">
        <v>449</v>
      </c>
      <c r="BL35" s="160" t="s">
        <v>157</v>
      </c>
      <c r="BM35" s="160" t="s">
        <v>473</v>
      </c>
      <c r="BN35" s="160" t="s">
        <v>474</v>
      </c>
      <c r="BO35" s="160" t="s">
        <v>46</v>
      </c>
      <c r="BP35" s="212" t="s">
        <v>11</v>
      </c>
      <c r="BQ35" s="211" t="s">
        <v>472</v>
      </c>
      <c r="BR35" s="160" t="s">
        <v>156</v>
      </c>
      <c r="BS35" s="160" t="s">
        <v>475</v>
      </c>
      <c r="BT35" s="160" t="s">
        <v>476</v>
      </c>
      <c r="BU35" s="160" t="s">
        <v>477</v>
      </c>
      <c r="BV35" s="160" t="s">
        <v>478</v>
      </c>
      <c r="BW35" s="160" t="s">
        <v>479</v>
      </c>
      <c r="BX35" s="160" t="s">
        <v>480</v>
      </c>
      <c r="BY35" s="160" t="s">
        <v>449</v>
      </c>
      <c r="BZ35" s="160" t="s">
        <v>157</v>
      </c>
      <c r="CA35" s="160" t="s">
        <v>473</v>
      </c>
      <c r="CB35" s="160" t="s">
        <v>474</v>
      </c>
      <c r="CC35" s="160" t="s">
        <v>46</v>
      </c>
      <c r="CD35" s="212" t="s">
        <v>11</v>
      </c>
      <c r="CE35" s="211" t="s">
        <v>472</v>
      </c>
      <c r="CF35" s="160" t="s">
        <v>156</v>
      </c>
      <c r="CG35" s="160" t="s">
        <v>475</v>
      </c>
      <c r="CH35" s="160" t="s">
        <v>476</v>
      </c>
      <c r="CI35" s="160" t="s">
        <v>477</v>
      </c>
      <c r="CJ35" s="160" t="s">
        <v>478</v>
      </c>
      <c r="CK35" s="160" t="s">
        <v>479</v>
      </c>
      <c r="CL35" s="160" t="s">
        <v>480</v>
      </c>
      <c r="CM35" s="160" t="s">
        <v>449</v>
      </c>
      <c r="CN35" s="160" t="s">
        <v>157</v>
      </c>
      <c r="CO35" s="160" t="s">
        <v>473</v>
      </c>
      <c r="CP35" s="160" t="s">
        <v>474</v>
      </c>
      <c r="CQ35" s="160" t="s">
        <v>46</v>
      </c>
      <c r="CR35" s="212" t="s">
        <v>11</v>
      </c>
      <c r="CV35" s="263"/>
      <c r="CW35" s="263"/>
      <c r="CX35" s="264" t="s">
        <v>156</v>
      </c>
      <c r="CY35" s="264" t="s">
        <v>478</v>
      </c>
      <c r="CZ35" s="264" t="s">
        <v>479</v>
      </c>
      <c r="DA35" s="264" t="s">
        <v>157</v>
      </c>
      <c r="DB35" s="264" t="s">
        <v>156</v>
      </c>
      <c r="DC35" s="264" t="s">
        <v>478</v>
      </c>
      <c r="DD35" s="264" t="s">
        <v>479</v>
      </c>
      <c r="DE35" s="264" t="s">
        <v>157</v>
      </c>
      <c r="DF35" s="264" t="s">
        <v>156</v>
      </c>
      <c r="DG35" s="264" t="s">
        <v>478</v>
      </c>
      <c r="DH35" s="264" t="s">
        <v>479</v>
      </c>
      <c r="DI35" s="264" t="s">
        <v>157</v>
      </c>
      <c r="DJ35" s="264" t="s">
        <v>156</v>
      </c>
      <c r="DK35" s="264" t="s">
        <v>478</v>
      </c>
      <c r="DL35" s="264" t="s">
        <v>479</v>
      </c>
      <c r="DM35" s="264" t="s">
        <v>157</v>
      </c>
      <c r="DN35" s="264" t="s">
        <v>156</v>
      </c>
      <c r="DO35" s="264" t="s">
        <v>478</v>
      </c>
      <c r="DP35" s="264" t="s">
        <v>479</v>
      </c>
      <c r="DQ35" s="264" t="s">
        <v>157</v>
      </c>
      <c r="DR35" s="264" t="s">
        <v>156</v>
      </c>
      <c r="DS35" s="264" t="s">
        <v>478</v>
      </c>
      <c r="DT35" s="264" t="s">
        <v>479</v>
      </c>
      <c r="DU35" s="264" t="s">
        <v>157</v>
      </c>
      <c r="DW35" s="278"/>
      <c r="DX35" s="278"/>
      <c r="DY35" s="280" t="s">
        <v>585</v>
      </c>
      <c r="DZ35" s="280" t="s">
        <v>259</v>
      </c>
      <c r="EB35" s="278"/>
      <c r="EC35" s="278"/>
      <c r="ED35" s="280" t="s">
        <v>585</v>
      </c>
      <c r="EE35" s="280" t="s">
        <v>259</v>
      </c>
      <c r="EL35" s="420" t="s">
        <v>564</v>
      </c>
      <c r="EM35" s="420" t="s">
        <v>565</v>
      </c>
      <c r="EN35" s="420" t="s">
        <v>566</v>
      </c>
      <c r="EO35" s="420" t="s">
        <v>562</v>
      </c>
      <c r="EP35" s="421" t="s">
        <v>597</v>
      </c>
      <c r="EQ35" s="421" t="s">
        <v>585</v>
      </c>
      <c r="ER35" s="421" t="s">
        <v>259</v>
      </c>
      <c r="ES35" s="424" t="s">
        <v>867</v>
      </c>
      <c r="EU35" s="306" t="s">
        <v>564</v>
      </c>
      <c r="EV35" s="306" t="s">
        <v>565</v>
      </c>
      <c r="EW35" s="306" t="s">
        <v>566</v>
      </c>
      <c r="EX35" s="306" t="s">
        <v>562</v>
      </c>
      <c r="EY35" s="307" t="s">
        <v>597</v>
      </c>
      <c r="EZ35" s="307" t="s">
        <v>585</v>
      </c>
      <c r="FA35" s="307" t="s">
        <v>259</v>
      </c>
    </row>
    <row r="36" spans="1:157" ht="37.5">
      <c r="A36" s="205" t="s">
        <v>700</v>
      </c>
      <c r="B36" s="205" t="s">
        <v>711</v>
      </c>
      <c r="C36" s="400">
        <f>$D8*KTDB_TripDistribution_2035!L$12 * (1+KTDB_발생량도착량_증가율!$C$8) * (1+KTDB_발생량도착량_증가율!$D$7*5) * (1+KTDB_발생량도착량_증가율!$E$7*5)</f>
        <v>48.373002782112522</v>
      </c>
      <c r="D36" s="400">
        <f>$D8*KTDB_TripDistribution_2035!M$12 * (1+KTDB_발생량도착량_증가율!$C$8) * (1+KTDB_발생량도착량_증가율!$D$7*5) * (1+KTDB_발생량도착량_증가율!$E$7*5)</f>
        <v>376.15492037219997</v>
      </c>
      <c r="E36" s="400">
        <f>$D8*KTDB_TripDistribution_2035!N$12 * (1+KTDB_발생량도착량_증가율!$C$8) * (1+KTDB_발생량도착량_증가율!$D$7*5) * (1+KTDB_발생량도착량_증가율!$E$7*5)</f>
        <v>16.67319966590188</v>
      </c>
      <c r="F36" s="400">
        <f>$D8*KTDB_TripDistribution_2035!O$12 * (1+KTDB_발생량도착량_증가율!$C$8) * (1+KTDB_발생량도착량_증가율!$D$7*5) * (1+KTDB_발생량도착량_증가율!$E$7*5)</f>
        <v>4.5215456721089661E-2</v>
      </c>
      <c r="G36" s="400">
        <f>$D8*KTDB_TripDistribution_2035!P$12 * (1+KTDB_발생량도착량_증가율!$C$8) * (1+KTDB_발생량도착량_증가율!$D$7*5) * (1+KTDB_발생량도착량_증가율!$E$7*5)</f>
        <v>0.12811046070975446</v>
      </c>
      <c r="H36" s="400">
        <f>$D8*KTDB_TripDistribution_2035!Q$12 * (1+KTDB_발생량도착량_증가율!$C$8) * (1+KTDB_발생량도착량_증가율!$D$7*5) * (1+KTDB_발생량도착량_증가율!$E$7*5)</f>
        <v>441.3744487376452</v>
      </c>
      <c r="J36" s="230">
        <f t="shared" ref="J36:J40" si="4">CR36</f>
        <v>441.37444873764531</v>
      </c>
      <c r="K36" s="206"/>
      <c r="L36" s="206" t="s">
        <v>710</v>
      </c>
      <c r="M36" s="206">
        <f>INDEX($A$35:$H$42,MATCH($L36,$B$35:$B$42,0),MATCH($M$34,$A$35:$H$35,0))*고양시_Modal_split!C$3 * 0.01</f>
        <v>0.13544440778991504</v>
      </c>
      <c r="N36" s="206">
        <f>INDEX($A$35:$H$42,MATCH($L36,$B$35:$B$42,0),MATCH($M$34,$A$35:$H$35,0))*고양시_Modal_split!D$3 * 0.01</f>
        <v>22.749823208427522</v>
      </c>
      <c r="O36" s="206">
        <f>INDEX($A$35:$H$42,MATCH($L36,$B$35:$B$42,0),MATCH($M$34,$A$35:$H$35,0))*고양시_Modal_split!E$3 * 0.01</f>
        <v>2.752423858302202</v>
      </c>
      <c r="P36" s="206">
        <f>INDEX($A$35:$H$42,MATCH($L36,$B$35:$B$42,0),MATCH($M$34,$A$35:$H$35,0))*고양시_Modal_split!F$3 * 0.01</f>
        <v>4.4358043551197186</v>
      </c>
      <c r="Q36" s="206">
        <f>INDEX($A$35:$H$42,MATCH($L36,$B$35:$B$42,0),MATCH($M$34,$A$35:$H$35,0))*고양시_Modal_split!G$3 * 0.01</f>
        <v>0.44503162559543519</v>
      </c>
      <c r="R36" s="206">
        <f>INDEX($A$35:$H$42,MATCH($L36,$B$35:$B$42,0),MATCH($M$34,$A$35:$H$35,0))*고양시_Modal_split!H$3 * 0.01</f>
        <v>4.8373002782112528E-3</v>
      </c>
      <c r="S36" s="206">
        <f>INDEX($A$35:$H$42,MATCH($L36,$B$35:$B$42,0),MATCH($M$34,$A$35:$H$35,0))*고양시_Modal_split!I$3 * 0.01</f>
        <v>1.3447694773427281</v>
      </c>
      <c r="T36" s="206">
        <f>INDEX($A$35:$H$42,MATCH($L36,$B$35:$B$42,0),MATCH($M$34,$A$35:$H$35,0))*고양시_Modal_split!J$3 * 0.01</f>
        <v>14.724742046875054</v>
      </c>
      <c r="U36" s="206">
        <f>INDEX($A$35:$H$42,MATCH($L36,$B$35:$B$42,0),MATCH($M$34,$A$35:$H$35,0))*고양시_Modal_split!K$3 * 0.01</f>
        <v>7.2559504173168782E-2</v>
      </c>
      <c r="V36" s="206">
        <f>INDEX($A$35:$H$42,MATCH($L36,$B$35:$B$42,0),MATCH($M$34,$A$35:$H$35,0))*고양시_Modal_split!L$3 * 0.01</f>
        <v>1.4608646840197983</v>
      </c>
      <c r="W36" s="206">
        <f>INDEX($A$35:$H$42,MATCH($L36,$B$35:$B$42,0),MATCH($M$34,$A$35:$H$35,0))*고양시_Modal_split!M$3 * 0.01</f>
        <v>0.1112579063988588</v>
      </c>
      <c r="X36" s="206">
        <f>INDEX($A$35:$H$42,MATCH($L36,$B$35:$B$42,0),MATCH($M$34,$A$35:$H$35,0))*고양시_Modal_split!N$3 * 0.01</f>
        <v>4.8373002782112526E-2</v>
      </c>
      <c r="Y36" s="206">
        <f>INDEX($A$35:$H$42,MATCH($L36,$B$35:$B$42,0),MATCH($M$34,$A$35:$H$35,0))*고양시_Modal_split!O$3 * 0.01</f>
        <v>8.7071405007802541E-2</v>
      </c>
      <c r="Z36" s="209">
        <f>INDEX($A$35:$H$42,MATCH($L36,$B$35:$B$42,0),MATCH($M$34,$A$35:$H$35,0))*고양시_Modal_split!P$3 * 0.01</f>
        <v>48.373002782112529</v>
      </c>
      <c r="AA36" s="206">
        <f>INDEX($A$35:$H$42,MATCH($L36,$B$35:$B$42,0),MATCH($AA$34,$A$35:$H$35,0))*고양시_Modal_split!C$3 * 0.01</f>
        <v>1.0532337770421598</v>
      </c>
      <c r="AB36" s="207">
        <f>INDEX($A$35:$H$42,MATCH($L36,$B$35:$B$42,0),MATCH($AA$34,$A$35:$H$35,0))*고양시_Modal_split!D$3 * 0.01</f>
        <v>176.90565905104566</v>
      </c>
      <c r="AC36" s="207">
        <f>INDEX($A$35:$H$42,MATCH($L36,$B$35:$B$42,0),MATCH($AA$34,$A$35:$H$35,0))*고양시_Modal_split!E$3 * 0.01</f>
        <v>21.403214969178176</v>
      </c>
      <c r="AD36" s="207">
        <f>INDEX($A$35:$H$42,MATCH($L36,$B$35:$B$42,0),MATCH($AA$34,$A$35:$H$35,0))*고양시_Modal_split!F$3 * 0.01</f>
        <v>34.493406198130735</v>
      </c>
      <c r="AE36" s="207">
        <f>INDEX($A$35:$H$42,MATCH($L36,$B$35:$B$42,0),MATCH($AA$34,$A$35:$H$35,0))*고양시_Modal_split!G$3 * 0.01</f>
        <v>3.4606252674242395</v>
      </c>
      <c r="AF36" s="207">
        <f>INDEX($A$35:$H$42,MATCH($L36,$B$35:$B$42,0),MATCH($AA$34,$A$35:$H$35,0))*고양시_Modal_split!H$3 * 0.01</f>
        <v>3.7615492037219998E-2</v>
      </c>
      <c r="AG36" s="207">
        <f>INDEX($A$35:$H$42,MATCH($L36,$B$35:$B$42,0),MATCH($AA$34,$A$35:$H$35,0))*고양시_Modal_split!I$3 * 0.01</f>
        <v>10.457106786347158</v>
      </c>
      <c r="AH36" s="207">
        <f>INDEX($A$35:$H$42,MATCH($L36,$B$35:$B$42,0),MATCH($AA$34,$A$35:$H$35,0))*고양시_Modal_split!J$3 * 0.01</f>
        <v>114.50155776129769</v>
      </c>
      <c r="AI36" s="207">
        <f>INDEX($A$35:$H$42,MATCH($L36,$B$35:$B$42,0),MATCH($AA$34,$A$35:$H$35,0))*고양시_Modal_split!K$3 * 0.01</f>
        <v>0.56423238055829994</v>
      </c>
      <c r="AJ36" s="207">
        <f>INDEX($A$35:$H$42,MATCH($L36,$B$35:$B$42,0),MATCH($AA$34,$A$35:$H$35,0))*고양시_Modal_split!L$3 * 0.01</f>
        <v>11.359878595240438</v>
      </c>
      <c r="AK36" s="207">
        <f>INDEX($A$35:$H$42,MATCH($L36,$B$35:$B$42,0),MATCH($AA$34,$A$35:$H$35,0))*고양시_Modal_split!M$3 * 0.01</f>
        <v>0.86515631685605987</v>
      </c>
      <c r="AL36" s="207">
        <f>INDEX($A$35:$H$42,MATCH($L36,$B$35:$B$42,0),MATCH($AA$34,$A$35:$H$35,0))*고양시_Modal_split!N$3 * 0.01</f>
        <v>0.3761549203722</v>
      </c>
      <c r="AM36" s="207">
        <f>INDEX($A$35:$H$42,MATCH($L36,$B$35:$B$42,0),MATCH($AA$34,$A$35:$H$35,0))*고양시_Modal_split!O$3 * 0.01</f>
        <v>0.67707885666995993</v>
      </c>
      <c r="AN36" s="207">
        <f>INDEX($A$35:$H$42,MATCH($L36,$B$35:$B$42,0),MATCH($AA$34,$A$35:$H$35,0))*고양시_Modal_split!P$3 * 0.01</f>
        <v>376.15492037220002</v>
      </c>
      <c r="AO36" s="303">
        <f>INDEX($A$35:$H$42,MATCH($L36,$B$35:$B$42,0),MATCH($AO$34,$A$35:$H$35,0))*고양시_Modal_split!C$3 * 0.01</f>
        <v>4.6684959064525258E-2</v>
      </c>
      <c r="AP36" s="303">
        <f>INDEX($A$35:$H$42,MATCH($L36,$B$35:$B$42,0),MATCH($AO$34,$A$35:$H$35,0))*고양시_Modal_split!D$3 * 0.01</f>
        <v>7.8414058028736546</v>
      </c>
      <c r="AQ36" s="303">
        <f>INDEX($A$35:$H$42,MATCH($L36,$B$35:$B$42,0),MATCH($AO$34,$A$35:$H$35,0))*고양시_Modal_split!E$3 * 0.01</f>
        <v>0.948705060989817</v>
      </c>
      <c r="AR36" s="303">
        <f>INDEX($A$35:$H$42,MATCH($L36,$B$35:$B$42,0),MATCH($AO$34,$A$35:$H$35,0))*고양시_Modal_split!F$3 * 0.01</f>
        <v>1.5289324093632024</v>
      </c>
      <c r="AS36" s="303">
        <f>INDEX($A$35:$H$42,MATCH($L36,$B$35:$B$42,0),MATCH($AO$34,$A$35:$H$35,0))*고양시_Modal_split!G$3 * 0.01</f>
        <v>0.15339343692629728</v>
      </c>
      <c r="AT36" s="303">
        <f>INDEX($A$35:$H$42,MATCH($L36,$B$35:$B$42,0),MATCH($AO$34,$A$35:$H$35,0))*고양시_Modal_split!H$3 * 0.01</f>
        <v>1.6673199665901881E-3</v>
      </c>
      <c r="AU36" s="303">
        <f>INDEX($A$35:$H$42,MATCH($L36,$B$35:$B$42,0),MATCH($AO$34,$A$35:$H$35,0))*고양시_Modal_split!I$3 * 0.01</f>
        <v>0.46351495071207227</v>
      </c>
      <c r="AV36" s="303">
        <f>INDEX($A$35:$H$42,MATCH($L36,$B$35:$B$42,0),MATCH($AO$34,$A$35:$H$35,0))*고양시_Modal_split!J$3 * 0.01</f>
        <v>5.0753219783005328</v>
      </c>
      <c r="AW36" s="303">
        <f>INDEX($A$35:$H$42,MATCH($L36,$B$35:$B$42,0),MATCH($AO$34,$A$35:$H$35,0))*고양시_Modal_split!K$3 * 0.01</f>
        <v>2.5009799498852819E-2</v>
      </c>
      <c r="AX36" s="303">
        <f>INDEX($A$35:$H$42,MATCH($L36,$B$35:$B$42,0),MATCH($AO$34,$A$35:$H$35,0))*고양시_Modal_split!L$3 * 0.01</f>
        <v>0.50353062991023678</v>
      </c>
      <c r="AY36" s="303">
        <f>INDEX($A$35:$H$42,MATCH($L36,$B$35:$B$42,0),MATCH($AO$34,$A$35:$H$35,0))*고양시_Modal_split!M$3 * 0.01</f>
        <v>3.8348359231574321E-2</v>
      </c>
      <c r="AZ36" s="303">
        <f>INDEX($A$35:$H$42,MATCH($L36,$B$35:$B$42,0),MATCH($AO$34,$A$35:$H$35,0))*고양시_Modal_split!N$3 * 0.01</f>
        <v>1.6673199665901882E-2</v>
      </c>
      <c r="BA36" s="207">
        <f>INDEX($A$35:$H$42,MATCH($L36,$B$35:$B$42,0),MATCH($AO$34,$A$35:$H$35,0))*고양시_Modal_split!O$3 * 0.01</f>
        <v>3.0011759398623383E-2</v>
      </c>
      <c r="BB36" s="207">
        <f>INDEX($A$35:$H$42,MATCH($L36,$B$35:$B$42,0),MATCH($AO$34,$A$35:$H$35,0))*고양시_Modal_split!P$3 * 0.01</f>
        <v>16.67319966590188</v>
      </c>
      <c r="BC36" s="207">
        <f>INDEX($A$35:$H$42,MATCH($L36,$B$35:$B$42,0),MATCH($BC$34,$A$35:$H$35,0))*고양시_Modal_split!C$3 * 0.01</f>
        <v>1.2660327881905103E-4</v>
      </c>
      <c r="BD36" s="207">
        <f>INDEX($A$35:$H$42,MATCH($L36,$B$35:$B$42,0),MATCH($BC$34,$A$35:$H$35,0))*고양시_Modal_split!D$3 * 0.01</f>
        <v>2.1264829295928468E-2</v>
      </c>
      <c r="BE36" s="207">
        <f>INDEX($A$35:$H$42,MATCH($L36,$B$35:$B$42,0),MATCH($BC$34,$A$35:$H$35,0))*고양시_Modal_split!E$3 * 0.01</f>
        <v>2.5727594874300013E-3</v>
      </c>
      <c r="BF36" s="207">
        <f>INDEX($A$35:$H$42,MATCH($L36,$B$35:$B$42,0),MATCH($BC$34,$A$35:$H$35,0))*고양시_Modal_split!F$3 * 0.01</f>
        <v>4.1462573813239216E-3</v>
      </c>
      <c r="BG36" s="207">
        <f>INDEX($A$35:$H$42,MATCH($L36,$B$35:$B$42,0),MATCH($BC$34,$A$35:$H$35,0))*고양시_Modal_split!G$3 * 0.01</f>
        <v>4.1598220183402488E-4</v>
      </c>
      <c r="BH36" s="207">
        <f>INDEX($A$35:$H$42,MATCH($L36,$B$35:$B$42,0),MATCH($BC$34,$A$35:$H$35,0))*고양시_Modal_split!H$3 * 0.01</f>
        <v>4.521545672108966E-6</v>
      </c>
      <c r="BI36" s="207">
        <f>INDEX($A$35:$H$42,MATCH($L36,$B$35:$B$42,0),MATCH($BC$34,$A$35:$H$35,0))*고양시_Modal_split!I$3 * 0.01</f>
        <v>1.2569896968462923E-3</v>
      </c>
      <c r="BJ36" s="207">
        <f>INDEX($A$35:$H$42,MATCH($L36,$B$35:$B$42,0),MATCH($BC$34,$A$35:$H$35,0))*고양시_Modal_split!J$3 * 0.01</f>
        <v>1.3763585025899694E-2</v>
      </c>
      <c r="BK36" s="207">
        <f>INDEX($A$35:$H$42,MATCH($L36,$B$35:$B$42,0),MATCH($BC$34,$A$35:$H$35,0))*고양시_Modal_split!K$3 * 0.01</f>
        <v>6.7823185081634485E-5</v>
      </c>
      <c r="BL36" s="207">
        <f>INDEX($A$35:$H$42,MATCH($L36,$B$35:$B$42,0),MATCH($BC$34,$A$35:$H$35,0))*고양시_Modal_split!L$3 * 0.01</f>
        <v>1.3655067929769077E-3</v>
      </c>
      <c r="BM36" s="207">
        <f>INDEX($A$35:$H$42,MATCH($L36,$B$35:$B$42,0),MATCH($BC$34,$A$35:$H$35,0))*고양시_Modal_split!M$3 * 0.01</f>
        <v>1.0399555045850622E-4</v>
      </c>
      <c r="BN36" s="207">
        <f>INDEX($A$35:$H$42,MATCH($L36,$B$35:$B$42,0),MATCH($BC$34,$A$35:$H$35,0))*고양시_Modal_split!N$3 * 0.01</f>
        <v>4.5215456721089665E-5</v>
      </c>
      <c r="BO36" s="207">
        <f>INDEX($A$35:$H$42,MATCH($L36,$B$35:$B$42,0),MATCH($BC$34,$A$35:$H$35,0))*고양시_Modal_split!O$3 * 0.01</f>
        <v>8.13878220979614E-5</v>
      </c>
      <c r="BP36" s="207">
        <f>INDEX($A$35:$H$42,MATCH($L36,$B$35:$B$42,0),MATCH($BC$34,$A$35:$H$35,0))*고양시_Modal_split!P$3 * 0.01</f>
        <v>4.5215456721089668E-2</v>
      </c>
      <c r="BQ36" s="207">
        <f>INDEX($A$35:$H$42,MATCH($L36,$B$35:$B$42,0),MATCH($BQ$34,$A$35:$H$35,0))*고양시_Modal_split!C$3 * 0.01</f>
        <v>3.5870928998731245E-4</v>
      </c>
      <c r="BR36" s="207">
        <f>INDEX($A$35:$H$42,MATCH($L36,$B$35:$B$42,0),MATCH($BQ$34,$A$35:$H$35,0))*고양시_Modal_split!D$3 * 0.01</f>
        <v>6.0250349671797522E-2</v>
      </c>
      <c r="BS36" s="207">
        <f>INDEX($A$35:$H$42,MATCH($L36,$B$35:$B$42,0),MATCH($BQ$34,$A$35:$H$35,0))*고양시_Modal_split!E$3 * 0.01</f>
        <v>7.2894852143850289E-3</v>
      </c>
      <c r="BT36" s="207">
        <f>INDEX($A$35:$H$42,MATCH($L36,$B$35:$B$42,0),MATCH($BQ$34,$A$35:$H$35,0))*고양시_Modal_split!F$3 * 0.01</f>
        <v>1.1747729247084485E-2</v>
      </c>
      <c r="BU36" s="207">
        <f>INDEX($A$35:$H$42,MATCH($L36,$B$35:$B$42,0),MATCH($BQ$34,$A$35:$H$35,0))*고양시_Modal_split!G$3 * 0.01</f>
        <v>1.178616238529741E-3</v>
      </c>
      <c r="BV36" s="207">
        <f>INDEX($A$35:$H$42,MATCH($L36,$B$35:$B$42,0),MATCH($BQ$34,$A$35:$H$35,0))*고양시_Modal_split!H$3 * 0.01</f>
        <v>1.2811046070975448E-5</v>
      </c>
      <c r="BW36" s="207">
        <f>INDEX($A$35:$H$42,MATCH($L36,$B$35:$B$42,0),MATCH($BQ$34,$A$35:$H$35,0))*고양시_Modal_split!I$3 * 0.01</f>
        <v>3.5614708077311738E-3</v>
      </c>
      <c r="BX36" s="207">
        <f>INDEX($A$35:$H$42,MATCH($L36,$B$35:$B$42,0),MATCH($BQ$34,$A$35:$H$35,0))*고양시_Modal_split!J$3 * 0.01</f>
        <v>3.8996824240049258E-2</v>
      </c>
      <c r="BY36" s="207">
        <f>INDEX($A$35:$H$42,MATCH($L36,$B$35:$B$42,0),MATCH($BQ$34,$A$35:$H$35,0))*고양시_Modal_split!K$3 * 0.01</f>
        <v>1.9216569106463168E-4</v>
      </c>
      <c r="BZ36" s="207">
        <f>INDEX($A$35:$H$42,MATCH($L36,$B$35:$B$42,0),MATCH($BQ$34,$A$35:$H$35,0))*고양시_Modal_split!L$3 * 0.01</f>
        <v>3.8689359134345849E-3</v>
      </c>
      <c r="CA36" s="207">
        <f>INDEX($A$35:$H$42,MATCH($L36,$B$35:$B$42,0),MATCH($BQ$34,$A$35:$H$35,0))*고양시_Modal_split!M$3 * 0.01</f>
        <v>2.9465405963243526E-4</v>
      </c>
      <c r="CB36" s="207">
        <f>INDEX($A$35:$H$42,MATCH($L36,$B$35:$B$42,0),MATCH($BQ$34,$A$35:$H$35,0))*고양시_Modal_split!N$3 * 0.01</f>
        <v>1.2811046070975446E-4</v>
      </c>
      <c r="CC36" s="207">
        <f>INDEX($A$35:$H$42,MATCH($L36,$B$35:$B$42,0),MATCH($BQ$34,$A$35:$H$35,0))*고양시_Modal_split!O$3 * 0.01</f>
        <v>2.3059882927755804E-4</v>
      </c>
      <c r="CD36" s="207">
        <f>INDEX($A$35:$H$42,MATCH($L36,$B$35:$B$42,0),MATCH($BQ$34,$A$35:$H$35,0))*고양시_Modal_split!P$3 * 0.01</f>
        <v>0.12811046070975446</v>
      </c>
      <c r="CE36" s="304">
        <f>M36+AA36+AO36+BC36+BQ36</f>
        <v>1.2358484564654064</v>
      </c>
      <c r="CF36" s="304">
        <f t="shared" ref="CF36:CR42" si="5">N36+AB36+AP36+BD36+BR36</f>
        <v>207.57840324131456</v>
      </c>
      <c r="CG36" s="304">
        <f t="shared" si="5"/>
        <v>25.114206133172008</v>
      </c>
      <c r="CH36" s="304">
        <f t="shared" si="5"/>
        <v>40.474036949242063</v>
      </c>
      <c r="CI36" s="304">
        <f t="shared" si="5"/>
        <v>4.0606449283863357</v>
      </c>
      <c r="CJ36" s="304">
        <f t="shared" si="5"/>
        <v>4.4137444873764531E-2</v>
      </c>
      <c r="CK36" s="304">
        <f t="shared" si="5"/>
        <v>12.270209674906537</v>
      </c>
      <c r="CL36" s="304">
        <f t="shared" si="5"/>
        <v>134.35438219573925</v>
      </c>
      <c r="CM36" s="304">
        <f t="shared" si="5"/>
        <v>0.6620616731064678</v>
      </c>
      <c r="CN36" s="304">
        <f t="shared" si="5"/>
        <v>13.329508351876886</v>
      </c>
      <c r="CO36" s="304">
        <f t="shared" si="5"/>
        <v>1.0151612320965839</v>
      </c>
      <c r="CP36" s="304">
        <f t="shared" si="5"/>
        <v>0.44137444873764525</v>
      </c>
      <c r="CQ36" s="304">
        <f t="shared" si="5"/>
        <v>0.79447400772776133</v>
      </c>
      <c r="CR36" s="304">
        <f t="shared" si="5"/>
        <v>441.37444873764531</v>
      </c>
      <c r="CS36" s="305">
        <f>H36-CR36</f>
        <v>0</v>
      </c>
      <c r="CV36" s="265"/>
      <c r="CW36" s="265" t="s">
        <v>710</v>
      </c>
      <c r="CX36" s="267">
        <f>INDEX($M$34:$Z$42,MATCH($CW36,$L$34:$L$42,0),MATCH(CX$35,$M$35:$Z$35,0))/INDEX(고양시_재차인원!$D$4:$H$35,MATCH("고양시",고양시_재차인원!$B$4:$B$35,0),MATCH($CX$34,고양시_재차인원!$D$4:$H$4,0))</f>
        <v>20.312342150381713</v>
      </c>
      <c r="CY36" s="267">
        <f>INDEX($M$34:$Z$42,MATCH($CW36,$L$34:$L$42,0),MATCH(CY$35,$M$35:$Z$35,0))/INDEX(고양시_재차인원!$K$4:$O$20,MATCH("경기도",고양시_재차인원!$K$4:$K$20,0),MATCH(CY$35,고양시_재차인원!$K$4:$O$4,0))</f>
        <v>1.6802015554745581E-4</v>
      </c>
      <c r="CZ36" s="267">
        <f>INDEX($M$34:$Z$42,MATCH($CW36,$L$34:$L$42,0),MATCH(CZ$35,$M$35:$Z$35,0))/INDEX(고양시_재차인원!$K$4:$O$20,MATCH("경기도",고양시_재차인원!$K$4:$K$20,0),MATCH(CZ$35,고양시_재차인원!$K$4:$O$4,0))</f>
        <v>4.6709603242192713E-2</v>
      </c>
      <c r="DA36" s="267">
        <f>INDEX($M$34:$Z$42,MATCH($CW36,$L$34:$L$42,0),MATCH(DA$35,$M$35:$Z$35,0))/INDEX(고양시_재차인원!$D$4:$H$35,MATCH("고양시",고양시_재차인원!$B$4:$B$35,0),MATCH($CX$34,고양시_재차인원!$D$4:$H$4,0))</f>
        <v>1.3043434678748198</v>
      </c>
      <c r="DB36" s="267">
        <f>INDEX($AA$34:$AN$42,MATCH($CW36,$L$34:$L$42,0),MATCH(DB$35,$AA$35:$AN$35,0))/INDEX(고양시_재차인원!$D$4:$H$35,MATCH("고양시",고양시_재차인원!$B$4:$B$35,0),MATCH($DB$34,고양시_재차인원!$D$4:$H$4,0))</f>
        <v>125.46500641918132</v>
      </c>
      <c r="DC36" s="267">
        <f>INDEX($AA$34:$AN$42,MATCH($CW36,$L$34:$L$42,0),MATCH(DC$35,$AA$35:$AN$35,0))/INDEX(고양시_재차인원!$K$4:$O$20,MATCH("경기도",고양시_재차인원!$K$4:$K$20,0),MATCH(DC$35,고양시_재차인원!$K$4:$O$4,0))</f>
        <v>1.3065471357144843E-3</v>
      </c>
      <c r="DD36" s="267">
        <f>INDEX($AA$34:$AN$42,MATCH($CW36,$L$34:$L$42,0),MATCH(DD$35,$AA$35:$AN$35,0))/INDEX(고양시_재차인원!$K$4:$O$20,MATCH("경기도",고양시_재차인원!$K$4:$K$20,0),MATCH(DD$35,고양시_재차인원!$K$4:$O$4,0))</f>
        <v>0.36322010372862651</v>
      </c>
      <c r="DE36" s="267">
        <f>INDEX($AA$34:$AN$42,MATCH($CW36,$L$34:$L$42,0),MATCH(DE$35,$AA$35:$AN$35,0))/INDEX(고양시_재차인원!$D$4:$H$35,MATCH("고양시",고양시_재차인원!$B$4:$B$35,0),MATCH($DB$34,고양시_재차인원!$D$4:$H$4,0))</f>
        <v>8.0566514859861265</v>
      </c>
      <c r="DF36" s="267">
        <f>INDEX($AO$34:$BB$42,MATCH($CW36,$L$34:$L$42,0),MATCH(DF$35,$AO$35:$BB$35,0))/INDEX(고양시_재차인원!$D$4:$H$35,MATCH("고양시",고양시_재차인원!$B$4:$B$35,0),MATCH($DF$34,고양시_재차인원!$D$4:$H$4,0))</f>
        <v>6.0318506175951185</v>
      </c>
      <c r="DG36" s="267">
        <f>INDEX($AO$34:$BB$42,MATCH($CW36,$L$34:$L$42,0),MATCH(DG$35,$AO$35:$BB$35,0))/INDEX(고양시_재차인원!$K$4:$O$20,MATCH("경기도",고양시_재차인원!$K$4:$K$20,0),MATCH(DG$35,고양시_재차인원!$K$4:$O$4,0))</f>
        <v>5.7913163132691498E-5</v>
      </c>
      <c r="DH36" s="267">
        <f>INDEX($AO$34:$BB$42,MATCH($CW36,$L$34:$L$42,0),MATCH(DH$35,$AO$35:$BB$35,0))/INDEX(고양시_재차인원!$K$4:$O$20,MATCH("경기도",고양시_재차인원!$K$4:$K$20,0),MATCH(DH$35,고양시_재차인원!$K$4:$O$4,0))</f>
        <v>1.6099859350888236E-2</v>
      </c>
      <c r="DI36" s="267">
        <f>INDEX($AO$34:$BB$42,MATCH($CW36,$L$34:$L$42,0),MATCH(DI$35,$AO$35:$BB$35,0))/INDEX(고양시_재차인원!$D$4:$H$35,MATCH("고양시",고양시_재차인원!$B$4:$B$35,0),MATCH($DF$34,고양시_재차인원!$D$4:$H$4,0))</f>
        <v>0.3873312537771052</v>
      </c>
      <c r="DJ36" s="267">
        <f>INDEX($BC$34:$BP$42,MATCH($CW36,$L$34:$L$42,0),MATCH(DJ$35,$BC$35:$BP$35,0))/INDEX(고양시_재차인원!$D$4:$H$35,MATCH("고양시",고양시_재차인원!$B$4:$B$35,0),MATCH($DJ$34,고양시_재차인원!$D$4:$H$4,0))</f>
        <v>1.5635903894065051E-2</v>
      </c>
      <c r="DK36" s="267">
        <f>INDEX($BC$34:$BP$42,MATCH($CW36,$L$34:$L$42,0),MATCH(DK$35,$BC$35:$BP$35,0))/INDEX(고양시_재차인원!$K$4:$O$20,MATCH("경기도",고양시_재차인원!$K$4:$K$20,0),MATCH(DK$35,고양시_재차인원!$K$4:$O$4,0))</f>
        <v>1.5705264578356951E-7</v>
      </c>
      <c r="DL36" s="267">
        <f>INDEX($BC$34:$BP$42,MATCH($CW36,$L$34:$L$42,0),MATCH(DL$35,$BC$35:$BP$35,0))/INDEX(고양시_재차인원!$K$4:$O$20,MATCH("경기도",고양시_재차인원!$K$4:$K$20,0),MATCH(DL$35,고양시_재차인원!$K$4:$O$4,0))</f>
        <v>4.3660635527832317E-5</v>
      </c>
      <c r="DM36" s="267">
        <f>INDEX($BC$34:$BP$42,MATCH($CW36,$L$34:$L$42,0),MATCH(DM$35,$BC$35:$BP$35,0))/INDEX(고양시_재차인원!$D$4:$H$35,MATCH("고양시",고양시_재차인원!$B$4:$B$35,0),MATCH($DJ$34,고양시_재차인원!$D$4:$H$4,0))</f>
        <v>1.0040491124830202E-3</v>
      </c>
      <c r="DN36" s="267">
        <f>INDEX($BQ$34:$CD$42,MATCH($CW36,$L$34:$L$42,0),MATCH(DN$35,$BQ$35:$CD$35,0))/INDEX(고양시_재차인원!$D$4:$H$35,MATCH("고양시",고양시_재차인원!$B$4:$B$35,0),MATCH($DN$34,고양시_재차인원!$D$4:$H$4,0))</f>
        <v>4.7817737834759941E-2</v>
      </c>
      <c r="DO36" s="267">
        <f>INDEX($BQ$34:$CD$42,MATCH($CW36,$L$34:$L$42,0),MATCH(DO$35,$BQ$35:$CD$35,0))/INDEX(고양시_재차인원!$K$4:$O$20,MATCH("경기도",고양시_재차인원!$K$4:$K$20,0),MATCH(DO$35,고양시_재차인원!$K$4:$O$4,0))</f>
        <v>4.4498249638678183E-7</v>
      </c>
      <c r="DP36" s="267">
        <f>INDEX($BQ$34:$CD$42,MATCH($CW36,$L$34:$L$42,0),MATCH(DP$35,$BQ$35:$CD$35,0))/INDEX(고양시_재차인원!$K$4:$O$20,MATCH("경기도",고양시_재차인원!$K$4:$K$20,0),MATCH(DP$35,고양시_재차인원!$K$4:$O$4,0))</f>
        <v>1.2370513399552531E-4</v>
      </c>
      <c r="DQ36" s="267">
        <f>INDEX($BQ$34:$CD$42,MATCH($CW36,$L$34:$L$42,0),MATCH(DQ$35,$BQ$35:$CD$35,0))/INDEX(고양시_재차인원!$D$4:$H$35,MATCH("고양시",고양시_재차인원!$B$4:$B$35,0),MATCH($DN$34,고양시_재차인원!$D$4:$H$4,0))</f>
        <v>3.0705840582814165E-3</v>
      </c>
      <c r="DR36" s="270">
        <f>CX36+DB36+DF36+DJ36+DN36</f>
        <v>151.87265282888697</v>
      </c>
      <c r="DS36" s="270">
        <f t="shared" ref="DS36:DU42" si="6">CY36+DC36+DG36+DK36+DO36</f>
        <v>1.533082489536802E-3</v>
      </c>
      <c r="DT36" s="270">
        <f t="shared" si="6"/>
        <v>0.42619693209123083</v>
      </c>
      <c r="DU36" s="270">
        <f t="shared" si="6"/>
        <v>9.7524008408088161</v>
      </c>
      <c r="DW36" s="278"/>
      <c r="DX36" s="278" t="s">
        <v>710</v>
      </c>
      <c r="DY36" s="281">
        <f>DR36+DU36</f>
        <v>161.62505366969577</v>
      </c>
      <c r="DZ36" s="281">
        <f>DS36+DT36</f>
        <v>0.42773001458076765</v>
      </c>
      <c r="EB36" s="278"/>
      <c r="EC36" s="278" t="s">
        <v>12</v>
      </c>
      <c r="ED36" s="281">
        <f>DY36</f>
        <v>161.62505366969577</v>
      </c>
      <c r="EE36" s="281">
        <f t="shared" ref="EE36:EE42" si="7">DZ36</f>
        <v>0.42773001458076765</v>
      </c>
      <c r="EL36" s="420" t="s">
        <v>728</v>
      </c>
      <c r="EM36" s="420"/>
      <c r="EN36" s="420"/>
      <c r="EO36" s="420"/>
      <c r="EP36" s="421">
        <v>849201</v>
      </c>
      <c r="EQ36" s="422">
        <f>ED43</f>
        <v>820.50027245775959</v>
      </c>
      <c r="ER36" s="422">
        <f t="shared" ref="ER36" si="8">EE43</f>
        <v>2.1713997027905325</v>
      </c>
      <c r="ES36">
        <v>0</v>
      </c>
      <c r="EU36" s="306" t="s">
        <v>728</v>
      </c>
      <c r="EV36" s="306"/>
      <c r="EW36" s="306"/>
      <c r="EX36" s="306"/>
      <c r="EY36" s="307">
        <v>849201</v>
      </c>
      <c r="EZ36" s="308">
        <f>EQ36*$EI$29</f>
        <v>820.50027245775959</v>
      </c>
      <c r="FA36" s="308">
        <f t="shared" ref="FA36" si="9">ER36*$EI$29</f>
        <v>2.1713997027905325</v>
      </c>
    </row>
    <row r="37" spans="1:157" ht="25">
      <c r="A37" s="205" t="s">
        <v>700</v>
      </c>
      <c r="B37" s="205" t="s">
        <v>713</v>
      </c>
      <c r="C37" s="400">
        <f>$D9*KTDB_TripDistribution_2035!L$12 * (1+KTDB_발생량도착량_증가율!$C$8) * (1+KTDB_발생량도착량_증가율!$D$7*5) * (1+KTDB_발생량도착량_증가율!$E$7*5)</f>
        <v>91.919928720533989</v>
      </c>
      <c r="D37" s="400">
        <f>$D9*KTDB_TripDistribution_2035!M$12 * (1+KTDB_발생량도착량_증가율!$C$8) * (1+KTDB_발생량도착량_증가율!$D$7*5) * (1+KTDB_발생량도착량_증가율!$E$7*5)</f>
        <v>714.7816236307001</v>
      </c>
      <c r="E37" s="400">
        <f>$D9*KTDB_TripDistribution_2035!N$12 * (1+KTDB_발생량도착량_증가율!$C$8) * (1+KTDB_발생량도착량_증가율!$D$7*5) * (1+KTDB_발생량도착량_증가율!$E$7*5)</f>
        <v>31.6829478570154</v>
      </c>
      <c r="F37" s="400">
        <f>$D9*KTDB_TripDistribution_2035!O$12 * (1+KTDB_발생량도착량_증가율!$C$8) * (1+KTDB_발생량도착량_증가율!$D$7*5) * (1+KTDB_발생량도착량_증가율!$E$7*5)</f>
        <v>8.5919858595295676E-2</v>
      </c>
      <c r="G37" s="400">
        <f>$D9*KTDB_TripDistribution_2035!P$12 * (1+KTDB_발생량도착량_증가율!$C$8) * (1+KTDB_발생량도착량_증가율!$D$7*5) * (1+KTDB_발생량도착량_증가율!$E$7*5)</f>
        <v>0.24343959935333845</v>
      </c>
      <c r="H37" s="400">
        <f>$D9*KTDB_TripDistribution_2035!Q$12 * (1+KTDB_발생량도착량_증가율!$C$8) * (1+KTDB_발생량도착량_증가율!$D$7*5) * (1+KTDB_발생량도착량_증가율!$E$7*5)</f>
        <v>838.71385966619812</v>
      </c>
      <c r="J37" s="230">
        <f t="shared" si="4"/>
        <v>838.71385966619812</v>
      </c>
      <c r="K37" s="206"/>
      <c r="L37" s="206" t="s">
        <v>712</v>
      </c>
      <c r="M37" s="206">
        <f>INDEX($A$35:$H$42,MATCH($L37,$B$35:$B$42,0),MATCH($M$34,$A$35:$H$35,0))*고양시_Modal_split!C$3 * 0.01</f>
        <v>0.25737580041749514</v>
      </c>
      <c r="N37" s="206">
        <f>INDEX($A$35:$H$42,MATCH($L37,$B$35:$B$42,0),MATCH($M$34,$A$35:$H$35,0))*고양시_Modal_split!D$3 * 0.01</f>
        <v>43.22994247726713</v>
      </c>
      <c r="O37" s="206">
        <f>INDEX($A$35:$H$42,MATCH($L37,$B$35:$B$42,0),MATCH($M$34,$A$35:$H$35,0))*고양시_Modal_split!E$3 * 0.01</f>
        <v>5.2302439441983841</v>
      </c>
      <c r="P37" s="206">
        <f>INDEX($A$35:$H$42,MATCH($L37,$B$35:$B$42,0),MATCH($M$34,$A$35:$H$35,0))*고양시_Modal_split!F$3 * 0.01</f>
        <v>8.4290574636729669</v>
      </c>
      <c r="Q37" s="206">
        <f>INDEX($A$35:$H$42,MATCH($L37,$B$35:$B$42,0),MATCH($M$34,$A$35:$H$35,0))*고양시_Modal_split!G$3 * 0.01</f>
        <v>0.84566334422891265</v>
      </c>
      <c r="R37" s="206">
        <f>INDEX($A$35:$H$42,MATCH($L37,$B$35:$B$42,0),MATCH($M$34,$A$35:$H$35,0))*고양시_Modal_split!H$3 * 0.01</f>
        <v>9.1919928720533995E-3</v>
      </c>
      <c r="S37" s="206">
        <f>INDEX($A$35:$H$42,MATCH($L37,$B$35:$B$42,0),MATCH($M$34,$A$35:$H$35,0))*고양시_Modal_split!I$3 * 0.01</f>
        <v>2.5553740184308449</v>
      </c>
      <c r="T37" s="206">
        <f>INDEX($A$35:$H$42,MATCH($L37,$B$35:$B$42,0),MATCH($M$34,$A$35:$H$35,0))*고양시_Modal_split!J$3 * 0.01</f>
        <v>27.980426302530546</v>
      </c>
      <c r="U37" s="206">
        <f>INDEX($A$35:$H$42,MATCH($L37,$B$35:$B$42,0),MATCH($M$34,$A$35:$H$35,0))*고양시_Modal_split!K$3 * 0.01</f>
        <v>0.13787989308080098</v>
      </c>
      <c r="V37" s="206">
        <f>INDEX($A$35:$H$42,MATCH($L37,$B$35:$B$42,0),MATCH($M$34,$A$35:$H$35,0))*고양시_Modal_split!L$3 * 0.01</f>
        <v>2.7759818473601263</v>
      </c>
      <c r="W37" s="206">
        <f>INDEX($A$35:$H$42,MATCH($L37,$B$35:$B$42,0),MATCH($M$34,$A$35:$H$35,0))*고양시_Modal_split!M$3 * 0.01</f>
        <v>0.21141583605722816</v>
      </c>
      <c r="X37" s="206">
        <f>INDEX($A$35:$H$42,MATCH($L37,$B$35:$B$42,0),MATCH($M$34,$A$35:$H$35,0))*고양시_Modal_split!N$3 * 0.01</f>
        <v>9.1919928720533992E-2</v>
      </c>
      <c r="Y37" s="206">
        <f>INDEX($A$35:$H$42,MATCH($L37,$B$35:$B$42,0),MATCH($M$34,$A$35:$H$35,0))*고양시_Modal_split!O$3 * 0.01</f>
        <v>0.16545587169696116</v>
      </c>
      <c r="Z37" s="209">
        <f>INDEX($A$35:$H$42,MATCH($L37,$B$35:$B$42,0),MATCH($M$34,$A$35:$H$35,0))*고양시_Modal_split!P$3 * 0.01</f>
        <v>91.919928720533989</v>
      </c>
      <c r="AA37" s="207">
        <f>INDEX($A$35:$H$42,MATCH($L37,$B$35:$B$42,0),MATCH($AA$34,$A$35:$H$35,0))*고양시_Modal_split!C$3 * 0.01</f>
        <v>2.00138854616596</v>
      </c>
      <c r="AB37" s="207">
        <f>INDEX($A$35:$H$42,MATCH($L37,$B$35:$B$42,0),MATCH($AA$34,$A$35:$H$35,0))*고양시_Modal_split!D$3 * 0.01</f>
        <v>336.16179759351826</v>
      </c>
      <c r="AC37" s="207">
        <f>INDEX($A$35:$H$42,MATCH($L37,$B$35:$B$42,0),MATCH($AA$34,$A$35:$H$35,0))*고양시_Modal_split!E$3 * 0.01</f>
        <v>40.671074384586831</v>
      </c>
      <c r="AD37" s="207">
        <f>INDEX($A$35:$H$42,MATCH($L37,$B$35:$B$42,0),MATCH($AA$34,$A$35:$H$35,0))*고양시_Modal_split!F$3 * 0.01</f>
        <v>65.545474886935196</v>
      </c>
      <c r="AE37" s="207">
        <f>INDEX($A$35:$H$42,MATCH($L37,$B$35:$B$42,0),MATCH($AA$34,$A$35:$H$35,0))*고양시_Modal_split!G$3 * 0.01</f>
        <v>6.5759909374024401</v>
      </c>
      <c r="AF37" s="207">
        <f>INDEX($A$35:$H$42,MATCH($L37,$B$35:$B$42,0),MATCH($AA$34,$A$35:$H$35,0))*고양시_Modal_split!H$3 * 0.01</f>
        <v>7.1478162363070016E-2</v>
      </c>
      <c r="AG37" s="207">
        <f>INDEX($A$35:$H$42,MATCH($L37,$B$35:$B$42,0),MATCH($AA$34,$A$35:$H$35,0))*고양시_Modal_split!I$3 * 0.01</f>
        <v>19.870929136933462</v>
      </c>
      <c r="AH37" s="207">
        <f>INDEX($A$35:$H$42,MATCH($L37,$B$35:$B$42,0),MATCH($AA$34,$A$35:$H$35,0))*고양시_Modal_split!J$3 * 0.01</f>
        <v>217.57952623318513</v>
      </c>
      <c r="AI37" s="207">
        <f>INDEX($A$35:$H$42,MATCH($L37,$B$35:$B$42,0),MATCH($AA$34,$A$35:$H$35,0))*고양시_Modal_split!K$3 * 0.01</f>
        <v>1.0721724354460502</v>
      </c>
      <c r="AJ37" s="207">
        <f>INDEX($A$35:$H$42,MATCH($L37,$B$35:$B$42,0),MATCH($AA$34,$A$35:$H$35,0))*고양시_Modal_split!L$3 * 0.01</f>
        <v>21.586405033647143</v>
      </c>
      <c r="AK37" s="207">
        <f>INDEX($A$35:$H$42,MATCH($L37,$B$35:$B$42,0),MATCH($AA$34,$A$35:$H$35,0))*고양시_Modal_split!M$3 * 0.01</f>
        <v>1.64399773435061</v>
      </c>
      <c r="AL37" s="207">
        <f>INDEX($A$35:$H$42,MATCH($L37,$B$35:$B$42,0),MATCH($AA$34,$A$35:$H$35,0))*고양시_Modal_split!N$3 * 0.01</f>
        <v>0.71478162363070019</v>
      </c>
      <c r="AM37" s="207">
        <f>INDEX($A$35:$H$42,MATCH($L37,$B$35:$B$42,0),MATCH($AA$34,$A$35:$H$35,0))*고양시_Modal_split!O$3 * 0.01</f>
        <v>1.2866069225352601</v>
      </c>
      <c r="AN37" s="207">
        <f>INDEX($A$35:$H$42,MATCH($L37,$B$35:$B$42,0),MATCH($AA$34,$A$35:$H$35,0))*고양시_Modal_split!P$3 * 0.01</f>
        <v>714.7816236307001</v>
      </c>
      <c r="AO37" s="303">
        <f>INDEX($A$35:$H$42,MATCH($L37,$B$35:$B$42,0),MATCH($AO$34,$A$35:$H$35,0))*고양시_Modal_split!C$3 * 0.01</f>
        <v>8.8712253999643109E-2</v>
      </c>
      <c r="AP37" s="303">
        <f>INDEX($A$35:$H$42,MATCH($L37,$B$35:$B$42,0),MATCH($AO$34,$A$35:$H$35,0))*고양시_Modal_split!D$3 * 0.01</f>
        <v>14.900490377154343</v>
      </c>
      <c r="AQ37" s="303">
        <f>INDEX($A$35:$H$42,MATCH($L37,$B$35:$B$42,0),MATCH($AO$34,$A$35:$H$35,0))*고양시_Modal_split!E$3 * 0.01</f>
        <v>1.802759733064176</v>
      </c>
      <c r="AR37" s="303">
        <f>INDEX($A$35:$H$42,MATCH($L37,$B$35:$B$42,0),MATCH($AO$34,$A$35:$H$35,0))*고양시_Modal_split!F$3 * 0.01</f>
        <v>2.9053263184883122</v>
      </c>
      <c r="AS37" s="303">
        <f>INDEX($A$35:$H$42,MATCH($L37,$B$35:$B$42,0),MATCH($AO$34,$A$35:$H$35,0))*고양시_Modal_split!G$3 * 0.01</f>
        <v>0.29148312028454165</v>
      </c>
      <c r="AT37" s="303">
        <f>INDEX($A$35:$H$42,MATCH($L37,$B$35:$B$42,0),MATCH($AO$34,$A$35:$H$35,0))*고양시_Modal_split!H$3 * 0.01</f>
        <v>3.1682947857015397E-3</v>
      </c>
      <c r="AU37" s="303">
        <f>INDEX($A$35:$H$42,MATCH($L37,$B$35:$B$42,0),MATCH($AO$34,$A$35:$H$35,0))*고양시_Modal_split!I$3 * 0.01</f>
        <v>0.88078595042502794</v>
      </c>
      <c r="AV37" s="303">
        <f>INDEX($A$35:$H$42,MATCH($L37,$B$35:$B$42,0),MATCH($AO$34,$A$35:$H$35,0))*고양시_Modal_split!J$3 * 0.01</f>
        <v>9.6442893276754873</v>
      </c>
      <c r="AW37" s="303">
        <f>INDEX($A$35:$H$42,MATCH($L37,$B$35:$B$42,0),MATCH($AO$34,$A$35:$H$35,0))*고양시_Modal_split!K$3 * 0.01</f>
        <v>4.7524421785523102E-2</v>
      </c>
      <c r="AX37" s="303">
        <f>INDEX($A$35:$H$42,MATCH($L37,$B$35:$B$42,0),MATCH($AO$34,$A$35:$H$35,0))*고양시_Modal_split!L$3 * 0.01</f>
        <v>0.95682502528186508</v>
      </c>
      <c r="AY37" s="303">
        <f>INDEX($A$35:$H$42,MATCH($L37,$B$35:$B$42,0),MATCH($AO$34,$A$35:$H$35,0))*고양시_Modal_split!M$3 * 0.01</f>
        <v>7.2870780071135413E-2</v>
      </c>
      <c r="AZ37" s="303">
        <f>INDEX($A$35:$H$42,MATCH($L37,$B$35:$B$42,0),MATCH($AO$34,$A$35:$H$35,0))*고양시_Modal_split!N$3 * 0.01</f>
        <v>3.1682947857015406E-2</v>
      </c>
      <c r="BA37" s="207">
        <f>INDEX($A$35:$H$42,MATCH($L37,$B$35:$B$42,0),MATCH($AO$34,$A$35:$H$35,0))*고양시_Modal_split!O$3 * 0.01</f>
        <v>5.7029306142627717E-2</v>
      </c>
      <c r="BB37" s="207">
        <f>INDEX($A$35:$H$42,MATCH($L37,$B$35:$B$42,0),MATCH($AO$34,$A$35:$H$35,0))*고양시_Modal_split!P$3 * 0.01</f>
        <v>31.682947857015403</v>
      </c>
      <c r="BC37" s="207">
        <f>INDEX($A$35:$H$42,MATCH($L37,$B$35:$B$42,0),MATCH($BC$34,$A$35:$H$35,0))*고양시_Modal_split!C$3 * 0.01</f>
        <v>2.4057560406682787E-4</v>
      </c>
      <c r="BD37" s="207">
        <f>INDEX($A$35:$H$42,MATCH($L37,$B$35:$B$42,0),MATCH($BC$34,$A$35:$H$35,0))*고양시_Modal_split!D$3 * 0.01</f>
        <v>4.0408109497367554E-2</v>
      </c>
      <c r="BE37" s="207">
        <f>INDEX($A$35:$H$42,MATCH($L37,$B$35:$B$42,0),MATCH($BC$34,$A$35:$H$35,0))*고양시_Modal_split!E$3 * 0.01</f>
        <v>4.8888399540723236E-3</v>
      </c>
      <c r="BF37" s="207">
        <f>INDEX($A$35:$H$42,MATCH($L37,$B$35:$B$42,0),MATCH($BC$34,$A$35:$H$35,0))*고양시_Modal_split!F$3 * 0.01</f>
        <v>7.8788510331886125E-3</v>
      </c>
      <c r="BG37" s="207">
        <f>INDEX($A$35:$H$42,MATCH($L37,$B$35:$B$42,0),MATCH($BC$34,$A$35:$H$35,0))*고양시_Modal_split!G$3 * 0.01</f>
        <v>7.9046269907672015E-4</v>
      </c>
      <c r="BH37" s="207">
        <f>INDEX($A$35:$H$42,MATCH($L37,$B$35:$B$42,0),MATCH($BC$34,$A$35:$H$35,0))*고양시_Modal_split!H$3 * 0.01</f>
        <v>8.5919858595295672E-6</v>
      </c>
      <c r="BI37" s="207">
        <f>INDEX($A$35:$H$42,MATCH($L37,$B$35:$B$42,0),MATCH($BC$34,$A$35:$H$35,0))*고양시_Modal_split!I$3 * 0.01</f>
        <v>2.3885720689492194E-3</v>
      </c>
      <c r="BJ37" s="207">
        <f>INDEX($A$35:$H$42,MATCH($L37,$B$35:$B$42,0),MATCH($BC$34,$A$35:$H$35,0))*고양시_Modal_split!J$3 * 0.01</f>
        <v>2.6154004956408006E-2</v>
      </c>
      <c r="BK37" s="207">
        <f>INDEX($A$35:$H$42,MATCH($L37,$B$35:$B$42,0),MATCH($BC$34,$A$35:$H$35,0))*고양시_Modal_split!K$3 * 0.01</f>
        <v>1.2887978789294353E-4</v>
      </c>
      <c r="BL37" s="207">
        <f>INDEX($A$35:$H$42,MATCH($L37,$B$35:$B$42,0),MATCH($BC$34,$A$35:$H$35,0))*고양시_Modal_split!L$3 * 0.01</f>
        <v>2.5947797295779295E-3</v>
      </c>
      <c r="BM37" s="207">
        <f>INDEX($A$35:$H$42,MATCH($L37,$B$35:$B$42,0),MATCH($BC$34,$A$35:$H$35,0))*고양시_Modal_split!M$3 * 0.01</f>
        <v>1.9761567476918004E-4</v>
      </c>
      <c r="BN37" s="207">
        <f>INDEX($A$35:$H$42,MATCH($L37,$B$35:$B$42,0),MATCH($BC$34,$A$35:$H$35,0))*고양시_Modal_split!N$3 * 0.01</f>
        <v>8.5919858595295679E-5</v>
      </c>
      <c r="BO37" s="207">
        <f>INDEX($A$35:$H$42,MATCH($L37,$B$35:$B$42,0),MATCH($BC$34,$A$35:$H$35,0))*고양시_Modal_split!O$3 * 0.01</f>
        <v>1.546557454715322E-4</v>
      </c>
      <c r="BP37" s="207">
        <f>INDEX($A$35:$H$42,MATCH($L37,$B$35:$B$42,0),MATCH($BC$34,$A$35:$H$35,0))*고양시_Modal_split!P$3 * 0.01</f>
        <v>8.5919858595295676E-2</v>
      </c>
      <c r="BQ37" s="207">
        <f>INDEX($A$35:$H$42,MATCH($L37,$B$35:$B$42,0),MATCH($BQ$34,$A$35:$H$35,0))*고양시_Modal_split!C$3 * 0.01</f>
        <v>6.8163087818934765E-4</v>
      </c>
      <c r="BR37" s="207">
        <f>INDEX($A$35:$H$42,MATCH($L37,$B$35:$B$42,0),MATCH($BQ$34,$A$35:$H$35,0))*고양시_Modal_split!D$3 * 0.01</f>
        <v>0.11448964357587509</v>
      </c>
      <c r="BS37" s="207">
        <f>INDEX($A$35:$H$42,MATCH($L37,$B$35:$B$42,0),MATCH($BQ$34,$A$35:$H$35,0))*고양시_Modal_split!E$3 * 0.01</f>
        <v>1.3851713203204956E-2</v>
      </c>
      <c r="BT37" s="207">
        <f>INDEX($A$35:$H$42,MATCH($L37,$B$35:$B$42,0),MATCH($BQ$34,$A$35:$H$35,0))*고양시_Modal_split!F$3 * 0.01</f>
        <v>2.2323411260701136E-2</v>
      </c>
      <c r="BU37" s="207">
        <f>INDEX($A$35:$H$42,MATCH($L37,$B$35:$B$42,0),MATCH($BQ$34,$A$35:$H$35,0))*고양시_Modal_split!G$3 * 0.01</f>
        <v>2.2396443140507137E-3</v>
      </c>
      <c r="BV37" s="207">
        <f>INDEX($A$35:$H$42,MATCH($L37,$B$35:$B$42,0),MATCH($BQ$34,$A$35:$H$35,0))*고양시_Modal_split!H$3 * 0.01</f>
        <v>2.4343959935333849E-5</v>
      </c>
      <c r="BW37" s="207">
        <f>INDEX($A$35:$H$42,MATCH($L37,$B$35:$B$42,0),MATCH($BQ$34,$A$35:$H$35,0))*고양시_Modal_split!I$3 * 0.01</f>
        <v>6.7676208620228084E-3</v>
      </c>
      <c r="BX37" s="207">
        <f>INDEX($A$35:$H$42,MATCH($L37,$B$35:$B$42,0),MATCH($BQ$34,$A$35:$H$35,0))*고양시_Modal_split!J$3 * 0.01</f>
        <v>7.4103014043156223E-2</v>
      </c>
      <c r="BY37" s="207">
        <f>INDEX($A$35:$H$42,MATCH($L37,$B$35:$B$42,0),MATCH($BQ$34,$A$35:$H$35,0))*고양시_Modal_split!K$3 * 0.01</f>
        <v>3.651593990300077E-4</v>
      </c>
      <c r="BZ37" s="207">
        <f>INDEX($A$35:$H$42,MATCH($L37,$B$35:$B$42,0),MATCH($BQ$34,$A$35:$H$35,0))*고양시_Modal_split!L$3 * 0.01</f>
        <v>7.3518759004708211E-3</v>
      </c>
      <c r="CA37" s="207">
        <f>INDEX($A$35:$H$42,MATCH($L37,$B$35:$B$42,0),MATCH($BQ$34,$A$35:$H$35,0))*고양시_Modal_split!M$3 * 0.01</f>
        <v>5.5991107851267841E-4</v>
      </c>
      <c r="CB37" s="207">
        <f>INDEX($A$35:$H$42,MATCH($L37,$B$35:$B$42,0),MATCH($BQ$34,$A$35:$H$35,0))*고양시_Modal_split!N$3 * 0.01</f>
        <v>2.4343959935333847E-4</v>
      </c>
      <c r="CC37" s="207">
        <f>INDEX($A$35:$H$42,MATCH($L37,$B$35:$B$42,0),MATCH($BQ$34,$A$35:$H$35,0))*고양시_Modal_split!O$3 * 0.01</f>
        <v>4.3819127883600923E-4</v>
      </c>
      <c r="CD37" s="207">
        <f>INDEX($A$35:$H$42,MATCH($L37,$B$35:$B$42,0),MATCH($BQ$34,$A$35:$H$35,0))*고양시_Modal_split!P$3 * 0.01</f>
        <v>0.24343959935333848</v>
      </c>
      <c r="CE37" s="304">
        <f t="shared" ref="CE37:CE42" si="10">M37+AA37+AO37+BC37+BQ37</f>
        <v>2.3483988070653545</v>
      </c>
      <c r="CF37" s="304">
        <f t="shared" si="5"/>
        <v>394.44712820101302</v>
      </c>
      <c r="CG37" s="304">
        <f t="shared" si="5"/>
        <v>47.722818615006666</v>
      </c>
      <c r="CH37" s="304">
        <f t="shared" si="5"/>
        <v>76.910060931390348</v>
      </c>
      <c r="CI37" s="304">
        <f t="shared" si="5"/>
        <v>7.716167508929022</v>
      </c>
      <c r="CJ37" s="304">
        <f t="shared" si="5"/>
        <v>8.3871385966619819E-2</v>
      </c>
      <c r="CK37" s="304">
        <f t="shared" si="5"/>
        <v>23.316245298720307</v>
      </c>
      <c r="CL37" s="304">
        <f t="shared" si="5"/>
        <v>255.30449888239073</v>
      </c>
      <c r="CM37" s="304">
        <f t="shared" si="5"/>
        <v>1.2580707894992971</v>
      </c>
      <c r="CN37" s="304">
        <f t="shared" si="5"/>
        <v>25.329158561919183</v>
      </c>
      <c r="CO37" s="304">
        <f t="shared" si="5"/>
        <v>1.9290418772322555</v>
      </c>
      <c r="CP37" s="304">
        <f t="shared" si="5"/>
        <v>0.83871385966619827</v>
      </c>
      <c r="CQ37" s="304">
        <f t="shared" si="5"/>
        <v>1.5096849473991565</v>
      </c>
      <c r="CR37" s="304">
        <f t="shared" si="5"/>
        <v>838.71385966619812</v>
      </c>
      <c r="CS37" s="305">
        <f t="shared" ref="CS37:CS42" si="11">H37-CR37</f>
        <v>0</v>
      </c>
      <c r="CV37" s="265"/>
      <c r="CW37" s="265" t="s">
        <v>712</v>
      </c>
      <c r="CX37" s="267">
        <f>INDEX($M$34:$Z$42,MATCH($CW37,$L$34:$L$42,0),MATCH(CX$35,$M$35:$Z$35,0))/INDEX(고양시_재차인원!$D$4:$H$35,MATCH("고양시",고양시_재차인원!$B$4:$B$35,0),MATCH($CX$34,고양시_재차인원!$D$4:$H$4,0))</f>
        <v>38.598162926131366</v>
      </c>
      <c r="CY37" s="267">
        <f>INDEX($M$34:$Z$42,MATCH($CW37,$L$34:$L$42,0),MATCH(CY$35,$M$35:$Z$35,0))/INDEX(고양시_재차인원!$K$4:$O$20,MATCH("경기도",고양시_재차인원!$K$4:$K$20,0),MATCH(CY$35,고양시_재차인원!$K$4:$O$4,0))</f>
        <v>3.1927727933495656E-4</v>
      </c>
      <c r="CZ37" s="267">
        <f>INDEX($M$34:$Z$42,MATCH($CW37,$L$34:$L$42,0),MATCH(CZ$35,$M$35:$Z$35,0))/INDEX(고양시_재차인원!$K$4:$O$20,MATCH("경기도",고양시_재차인원!$K$4:$K$20,0),MATCH(CZ$35,고양시_재차인원!$K$4:$O$4,0))</f>
        <v>8.8759083655117921E-2</v>
      </c>
      <c r="DA37" s="267">
        <f>INDEX($M$34:$Z$42,MATCH($CW37,$L$34:$L$42,0),MATCH(DA$35,$M$35:$Z$35,0))/INDEX(고양시_재차인원!$D$4:$H$35,MATCH("고양시",고양시_재차인원!$B$4:$B$35,0),MATCH($CX$34,고양시_재차인원!$D$4:$H$4,0))</f>
        <v>2.4785552208572552</v>
      </c>
      <c r="DB37" s="267">
        <f>INDEX($AA$34:$AN$42,MATCH($CW37,$L$34:$L$42,0),MATCH(DB$35,$AA$35:$AN$35,0))/INDEX(고양시_재차인원!$D$4:$H$35,MATCH("고양시",고양시_재차인원!$B$4:$B$35,0),MATCH($DB$34,고양시_재차인원!$D$4:$H$4,0))</f>
        <v>238.41262240675056</v>
      </c>
      <c r="DC37" s="267">
        <f>INDEX($AA$34:$AN$42,MATCH($CW37,$L$34:$L$42,0),MATCH(DC$35,$AA$35:$AN$35,0))/INDEX(고양시_재차인원!$K$4:$O$20,MATCH("경기도",고양시_재차인원!$K$4:$K$20,0),MATCH(DC$35,고양시_재차인원!$K$4:$O$4,0))</f>
        <v>2.4827427010444604E-3</v>
      </c>
      <c r="DD37" s="267">
        <f>INDEX($AA$34:$AN$42,MATCH($CW37,$L$34:$L$42,0),MATCH(DD$35,$AA$35:$AN$35,0))/INDEX(고양시_재차인원!$K$4:$O$20,MATCH("경기도",고양시_재차인원!$K$4:$K$20,0),MATCH(DD$35,고양시_재차인원!$K$4:$O$4,0))</f>
        <v>0.69020247089035991</v>
      </c>
      <c r="DE37" s="267">
        <f>INDEX($AA$34:$AN$42,MATCH($CW37,$L$34:$L$42,0),MATCH(DE$35,$AA$35:$AN$35,0))/INDEX(고양시_재차인원!$D$4:$H$35,MATCH("고양시",고양시_재차인원!$B$4:$B$35,0),MATCH($DB$34,고양시_재차인원!$D$4:$H$4,0))</f>
        <v>15.309507116061804</v>
      </c>
      <c r="DF37" s="267">
        <f>INDEX($AO$34:$BB$42,MATCH($CW37,$L$34:$L$42,0),MATCH(DF$35,$AO$35:$BB$35,0))/INDEX(고양시_재차인원!$D$4:$H$35,MATCH("고양시",고양시_재차인원!$B$4:$B$35,0),MATCH($DF$34,고양시_재차인원!$D$4:$H$4,0))</f>
        <v>11.46191567473411</v>
      </c>
      <c r="DG37" s="267">
        <f>INDEX($AO$34:$BB$42,MATCH($CW37,$L$34:$L$42,0),MATCH(DG$35,$AO$35:$BB$35,0))/INDEX(고양시_재차인원!$K$4:$O$20,MATCH("경기도",고양시_재차인원!$K$4:$K$20,0),MATCH(DG$35,고양시_재차인원!$K$4:$O$4,0))</f>
        <v>1.100484468809149E-4</v>
      </c>
      <c r="DH37" s="267">
        <f>INDEX($AO$34:$BB$42,MATCH($CW37,$L$34:$L$42,0),MATCH(DH$35,$AO$35:$BB$35,0))/INDEX(고양시_재차인원!$K$4:$O$20,MATCH("경기도",고양시_재차인원!$K$4:$K$20,0),MATCH(DH$35,고양시_재차인원!$K$4:$O$4,0))</f>
        <v>3.0593468232894338E-2</v>
      </c>
      <c r="DI37" s="267">
        <f>INDEX($AO$34:$BB$42,MATCH($CW37,$L$34:$L$42,0),MATCH(DI$35,$AO$35:$BB$35,0))/INDEX(고양시_재차인원!$D$4:$H$35,MATCH("고양시",고양시_재차인원!$B$4:$B$35,0),MATCH($DF$34,고양시_재차인원!$D$4:$H$4,0))</f>
        <v>0.73601925021681924</v>
      </c>
      <c r="DJ37" s="267">
        <f>INDEX($BC$34:$BP$42,MATCH($CW37,$L$34:$L$42,0),MATCH(DJ$35,$BC$35:$BP$35,0))/INDEX(고양시_재차인원!$D$4:$H$35,MATCH("고양시",고양시_재차인원!$B$4:$B$35,0),MATCH($DJ$34,고양시_재차인원!$D$4:$H$4,0))</f>
        <v>2.9711845218652611E-2</v>
      </c>
      <c r="DK37" s="267">
        <f>INDEX($BC$34:$BP$42,MATCH($CW37,$L$34:$L$42,0),MATCH(DK$35,$BC$35:$BP$35,0))/INDEX(고양시_재차인원!$K$4:$O$20,MATCH("경기도",고양시_재차인원!$K$4:$K$20,0),MATCH(DK$35,고양시_재차인원!$K$4:$O$4,0))</f>
        <v>2.984364661177342E-7</v>
      </c>
      <c r="DL37" s="267">
        <f>INDEX($BC$34:$BP$42,MATCH($CW37,$L$34:$L$42,0),MATCH(DL$35,$BC$35:$BP$35,0))/INDEX(고양시_재차인원!$K$4:$O$20,MATCH("경기도",고양시_재차인원!$K$4:$K$20,0),MATCH(DL$35,고양시_재차인원!$K$4:$O$4,0))</f>
        <v>8.2965337580730096E-5</v>
      </c>
      <c r="DM37" s="267">
        <f>INDEX($BC$34:$BP$42,MATCH($CW37,$L$34:$L$42,0),MATCH(DM$35,$BC$35:$BP$35,0))/INDEX(고양시_재차인원!$D$4:$H$35,MATCH("고양시",고양시_재차인원!$B$4:$B$35,0),MATCH($DJ$34,고양시_재차인원!$D$4:$H$4,0))</f>
        <v>1.9079262717484773E-3</v>
      </c>
      <c r="DN37" s="267">
        <f>INDEX($BQ$34:$CD$42,MATCH($CW37,$L$34:$L$42,0),MATCH(DN$35,$BQ$35:$CD$35,0))/INDEX(고양시_재차인원!$D$4:$H$35,MATCH("고양시",고양시_재차인원!$B$4:$B$35,0),MATCH($DN$34,고양시_재차인원!$D$4:$H$4,0))</f>
        <v>9.0864796488789756E-2</v>
      </c>
      <c r="DO37" s="267">
        <f>INDEX($BQ$34:$CD$42,MATCH($CW37,$L$34:$L$42,0),MATCH(DO$35,$BQ$35:$CD$35,0))/INDEX(고양시_재차인원!$K$4:$O$20,MATCH("경기도",고양시_재차인원!$K$4:$K$20,0),MATCH(DO$35,고양시_재차인원!$K$4:$O$4,0))</f>
        <v>8.4556998733358283E-7</v>
      </c>
      <c r="DP37" s="267">
        <f>INDEX($BQ$34:$CD$42,MATCH($CW37,$L$34:$L$42,0),MATCH(DP$35,$BQ$35:$CD$35,0))/INDEX(고양시_재차인원!$K$4:$O$20,MATCH("경기도",고양시_재차인원!$K$4:$K$20,0),MATCH(DP$35,고양시_재차인원!$K$4:$O$4,0))</f>
        <v>2.3506845647873597E-4</v>
      </c>
      <c r="DQ37" s="267">
        <f>INDEX($BQ$34:$CD$42,MATCH($CW37,$L$34:$L$42,0),MATCH(DQ$35,$BQ$35:$CD$35,0))/INDEX(고양시_재차인원!$D$4:$H$35,MATCH("고양시",고양시_재차인원!$B$4:$B$35,0),MATCH($DN$34,고양시_재차인원!$D$4:$H$4,0))</f>
        <v>5.83482214323081E-3</v>
      </c>
      <c r="DR37" s="270">
        <f t="shared" ref="DR37:DR42" si="12">CX37+DB37+DF37+DJ37+DN37</f>
        <v>288.59327764932345</v>
      </c>
      <c r="DS37" s="270">
        <f t="shared" si="6"/>
        <v>2.9132124337137829E-3</v>
      </c>
      <c r="DT37" s="270">
        <f t="shared" si="6"/>
        <v>0.80987305657243147</v>
      </c>
      <c r="DU37" s="270">
        <f t="shared" si="6"/>
        <v>18.531824335550859</v>
      </c>
      <c r="DW37" s="278"/>
      <c r="DX37" s="278" t="s">
        <v>712</v>
      </c>
      <c r="DY37" s="281">
        <f t="shared" ref="DY37:DY42" si="13">DR37+DU37</f>
        <v>307.12510198487433</v>
      </c>
      <c r="DZ37" s="281">
        <f t="shared" ref="DZ37:DZ42" si="14">DS37+DT37</f>
        <v>0.81278626900614526</v>
      </c>
      <c r="EB37" s="278"/>
      <c r="EC37" s="278" t="s">
        <v>667</v>
      </c>
      <c r="ED37" s="281">
        <f t="shared" ref="ED37:ED42" si="15">DY37</f>
        <v>307.12510198487433</v>
      </c>
      <c r="EE37" s="281">
        <f t="shared" si="7"/>
        <v>0.81278626900614526</v>
      </c>
    </row>
    <row r="38" spans="1:157" ht="37.5">
      <c r="A38" s="205" t="s">
        <v>700</v>
      </c>
      <c r="B38" s="205" t="s">
        <v>715</v>
      </c>
      <c r="C38" s="400">
        <f>$D10*KTDB_TripDistribution_2035!L$12 * (1+KTDB_발생량도착량_증가율!$C$8) * (1+KTDB_발생량도착량_증가율!$D$7*5) * (1+KTDB_발생량도착량_증가율!$E$7*5)</f>
        <v>17.620792196732403</v>
      </c>
      <c r="D38" s="400">
        <f>$D10*KTDB_TripDistribution_2035!M$12 * (1+KTDB_발생량도착량_증가율!$C$8) * (1+KTDB_발생량도착량_증가율!$D$7*5) * (1+KTDB_발생량도착량_증가율!$E$7*5)</f>
        <v>137.02162992676423</v>
      </c>
      <c r="E38" s="400">
        <f>$D10*KTDB_TripDistribution_2035!N$12 * (1+KTDB_발생량도착량_증가율!$C$8) * (1+KTDB_발생량도착량_증가율!$D$7*5) * (1+KTDB_발생량도착량_증가율!$E$7*5)</f>
        <v>6.0735321288784094</v>
      </c>
      <c r="F38" s="400">
        <f>$D10*KTDB_TripDistribution_2035!O$12 * (1+KTDB_발생량도착량_증가율!$C$8) * (1+KTDB_발생량도착량_증가율!$D$7*5) * (1+KTDB_발생량도착량_증가율!$E$7*5)</f>
        <v>1.6470595603737995E-2</v>
      </c>
      <c r="G38" s="400">
        <f>$D10*KTDB_TripDistribution_2035!P$12 * (1+KTDB_발생량도착량_증가율!$C$8) * (1+KTDB_발생량도착량_증가율!$D$7*5) * (1+KTDB_발생량도착량_증가율!$E$7*5)</f>
        <v>4.6666687543924473E-2</v>
      </c>
      <c r="H38" s="400">
        <f>$D10*KTDB_TripDistribution_2035!Q$12 * (1+KTDB_발생량도착량_증가율!$C$8) * (1+KTDB_발생량도착량_증가율!$D$7*5) * (1+KTDB_발생량도착량_증가율!$E$7*5)</f>
        <v>160.77909153552272</v>
      </c>
      <c r="J38" s="230">
        <f t="shared" si="4"/>
        <v>160.77909153552272</v>
      </c>
      <c r="K38" s="206"/>
      <c r="L38" s="206" t="s">
        <v>714</v>
      </c>
      <c r="M38" s="206">
        <f>INDEX($A$35:$H$42,MATCH($L38,$B$35:$B$42,0),MATCH($M$34,$A$35:$H$35,0))*고양시_Modal_split!C$3 * 0.01</f>
        <v>4.9338218150850724E-2</v>
      </c>
      <c r="N38" s="206">
        <f>INDEX($A$35:$H$42,MATCH($L38,$B$35:$B$42,0),MATCH($M$34,$A$35:$H$35,0))*고양시_Modal_split!D$3 * 0.01</f>
        <v>8.28705857012325</v>
      </c>
      <c r="O38" s="206">
        <f>INDEX($A$35:$H$42,MATCH($L38,$B$35:$B$42,0),MATCH($M$34,$A$35:$H$35,0))*고양시_Modal_split!E$3 * 0.01</f>
        <v>1.0026230759940737</v>
      </c>
      <c r="P38" s="206">
        <f>INDEX($A$35:$H$42,MATCH($L38,$B$35:$B$42,0),MATCH($M$34,$A$35:$H$35,0))*고양시_Modal_split!F$3 * 0.01</f>
        <v>1.6158266444403615</v>
      </c>
      <c r="Q38" s="206">
        <f>INDEX($A$35:$H$42,MATCH($L38,$B$35:$B$42,0),MATCH($M$34,$A$35:$H$35,0))*고양시_Modal_split!G$3 * 0.01</f>
        <v>0.16211128820993811</v>
      </c>
      <c r="R38" s="206">
        <f>INDEX($A$35:$H$42,MATCH($L38,$B$35:$B$42,0),MATCH($M$34,$A$35:$H$35,0))*고양시_Modal_split!H$3 * 0.01</f>
        <v>1.7620792196732403E-3</v>
      </c>
      <c r="S38" s="206">
        <f>INDEX($A$35:$H$42,MATCH($L38,$B$35:$B$42,0),MATCH($M$34,$A$35:$H$35,0))*고양시_Modal_split!I$3 * 0.01</f>
        <v>0.48985802306916076</v>
      </c>
      <c r="T38" s="206">
        <f>INDEX($A$35:$H$42,MATCH($L38,$B$35:$B$42,0),MATCH($M$34,$A$35:$H$35,0))*고양시_Modal_split!J$3 * 0.01</f>
        <v>5.3637691446853433</v>
      </c>
      <c r="U38" s="206">
        <f>INDEX($A$35:$H$42,MATCH($L38,$B$35:$B$42,0),MATCH($M$34,$A$35:$H$35,0))*고양시_Modal_split!K$3 * 0.01</f>
        <v>2.6431188295098603E-2</v>
      </c>
      <c r="V38" s="206">
        <f>INDEX($A$35:$H$42,MATCH($L38,$B$35:$B$42,0),MATCH($M$34,$A$35:$H$35,0))*고양시_Modal_split!L$3 * 0.01</f>
        <v>0.53214792434131863</v>
      </c>
      <c r="W38" s="206">
        <f>INDEX($A$35:$H$42,MATCH($L38,$B$35:$B$42,0),MATCH($M$34,$A$35:$H$35,0))*고양시_Modal_split!M$3 * 0.01</f>
        <v>4.0527822052484529E-2</v>
      </c>
      <c r="X38" s="206">
        <f>INDEX($A$35:$H$42,MATCH($L38,$B$35:$B$42,0),MATCH($M$34,$A$35:$H$35,0))*고양시_Modal_split!N$3 * 0.01</f>
        <v>1.7620792196732404E-2</v>
      </c>
      <c r="Y38" s="206">
        <f>INDEX($A$35:$H$42,MATCH($L38,$B$35:$B$42,0),MATCH($M$34,$A$35:$H$35,0))*고양시_Modal_split!O$3 * 0.01</f>
        <v>3.1717425954118326E-2</v>
      </c>
      <c r="Z38" s="209">
        <f>INDEX($A$35:$H$42,MATCH($L38,$B$35:$B$42,0),MATCH($M$34,$A$35:$H$35,0))*고양시_Modal_split!P$3 * 0.01</f>
        <v>17.620792196732403</v>
      </c>
      <c r="AA38" s="207">
        <f>INDEX($A$35:$H$42,MATCH($L38,$B$35:$B$42,0),MATCH($AA$34,$A$35:$H$35,0))*고양시_Modal_split!C$3 * 0.01</f>
        <v>0.38366056379493985</v>
      </c>
      <c r="AB38" s="207">
        <f>INDEX($A$35:$H$42,MATCH($L38,$B$35:$B$42,0),MATCH($AA$34,$A$35:$H$35,0))*고양시_Modal_split!D$3 * 0.01</f>
        <v>64.441272554557216</v>
      </c>
      <c r="AC38" s="207">
        <f>INDEX($A$35:$H$42,MATCH($L38,$B$35:$B$42,0),MATCH($AA$34,$A$35:$H$35,0))*고양시_Modal_split!E$3 * 0.01</f>
        <v>7.7965307428328847</v>
      </c>
      <c r="AD38" s="207">
        <f>INDEX($A$35:$H$42,MATCH($L38,$B$35:$B$42,0),MATCH($AA$34,$A$35:$H$35,0))*고양시_Modal_split!F$3 * 0.01</f>
        <v>12.56488346428428</v>
      </c>
      <c r="AE38" s="207">
        <f>INDEX($A$35:$H$42,MATCH($L38,$B$35:$B$42,0),MATCH($AA$34,$A$35:$H$35,0))*고양시_Modal_split!G$3 * 0.01</f>
        <v>1.2605989953262309</v>
      </c>
      <c r="AF38" s="207">
        <f>INDEX($A$35:$H$42,MATCH($L38,$B$35:$B$42,0),MATCH($AA$34,$A$35:$H$35,0))*고양시_Modal_split!H$3 * 0.01</f>
        <v>1.3702162992676424E-2</v>
      </c>
      <c r="AG38" s="207">
        <f>INDEX($A$35:$H$42,MATCH($L38,$B$35:$B$42,0),MATCH($AA$34,$A$35:$H$35,0))*고양시_Modal_split!I$3 * 0.01</f>
        <v>3.8092013119640455</v>
      </c>
      <c r="AH38" s="207">
        <f>INDEX($A$35:$H$42,MATCH($L38,$B$35:$B$42,0),MATCH($AA$34,$A$35:$H$35,0))*고양시_Modal_split!J$3 * 0.01</f>
        <v>41.709384149707041</v>
      </c>
      <c r="AI38" s="207">
        <f>INDEX($A$35:$H$42,MATCH($L38,$B$35:$B$42,0),MATCH($AA$34,$A$35:$H$35,0))*고양시_Modal_split!K$3 * 0.01</f>
        <v>0.20553244489014635</v>
      </c>
      <c r="AJ38" s="207">
        <f>INDEX($A$35:$H$42,MATCH($L38,$B$35:$B$42,0),MATCH($AA$34,$A$35:$H$35,0))*고양시_Modal_split!L$3 * 0.01</f>
        <v>4.1380532237882806</v>
      </c>
      <c r="AK38" s="207">
        <f>INDEX($A$35:$H$42,MATCH($L38,$B$35:$B$42,0),MATCH($AA$34,$A$35:$H$35,0))*고양시_Modal_split!M$3 * 0.01</f>
        <v>0.31514974883155772</v>
      </c>
      <c r="AL38" s="207">
        <f>INDEX($A$35:$H$42,MATCH($L38,$B$35:$B$42,0),MATCH($AA$34,$A$35:$H$35,0))*고양시_Modal_split!N$3 * 0.01</f>
        <v>0.13702162992676425</v>
      </c>
      <c r="AM38" s="207">
        <f>INDEX($A$35:$H$42,MATCH($L38,$B$35:$B$42,0),MATCH($AA$34,$A$35:$H$35,0))*고양시_Modal_split!O$3 * 0.01</f>
        <v>0.24663893386817562</v>
      </c>
      <c r="AN38" s="207">
        <f>INDEX($A$35:$H$42,MATCH($L38,$B$35:$B$42,0),MATCH($AA$34,$A$35:$H$35,0))*고양시_Modal_split!P$3 * 0.01</f>
        <v>137.02162992676423</v>
      </c>
      <c r="AO38" s="303">
        <f>INDEX($A$35:$H$42,MATCH($L38,$B$35:$B$42,0),MATCH($AO$34,$A$35:$H$35,0))*고양시_Modal_split!C$3 * 0.01</f>
        <v>1.7005889960859544E-2</v>
      </c>
      <c r="AP38" s="303">
        <f>INDEX($A$35:$H$42,MATCH($L38,$B$35:$B$42,0),MATCH($AO$34,$A$35:$H$35,0))*고양시_Modal_split!D$3 * 0.01</f>
        <v>2.856382160211516</v>
      </c>
      <c r="AQ38" s="303">
        <f>INDEX($A$35:$H$42,MATCH($L38,$B$35:$B$42,0),MATCH($AO$34,$A$35:$H$35,0))*고양시_Modal_split!E$3 * 0.01</f>
        <v>0.34558397813318148</v>
      </c>
      <c r="AR38" s="303">
        <f>INDEX($A$35:$H$42,MATCH($L38,$B$35:$B$42,0),MATCH($AO$34,$A$35:$H$35,0))*고양시_Modal_split!F$3 * 0.01</f>
        <v>0.55694289621815019</v>
      </c>
      <c r="AS38" s="303">
        <f>INDEX($A$35:$H$42,MATCH($L38,$B$35:$B$42,0),MATCH($AO$34,$A$35:$H$35,0))*고양시_Modal_split!G$3 * 0.01</f>
        <v>5.5876495585681363E-2</v>
      </c>
      <c r="AT38" s="303">
        <f>INDEX($A$35:$H$42,MATCH($L38,$B$35:$B$42,0),MATCH($AO$34,$A$35:$H$35,0))*고양시_Modal_split!H$3 * 0.01</f>
        <v>6.0735321288784097E-4</v>
      </c>
      <c r="AU38" s="303">
        <f>INDEX($A$35:$H$42,MATCH($L38,$B$35:$B$42,0),MATCH($AO$34,$A$35:$H$35,0))*고양시_Modal_split!I$3 * 0.01</f>
        <v>0.16884419318281979</v>
      </c>
      <c r="AV38" s="303">
        <f>INDEX($A$35:$H$42,MATCH($L38,$B$35:$B$42,0),MATCH($AO$34,$A$35:$H$35,0))*고양시_Modal_split!J$3 * 0.01</f>
        <v>1.8487831800305878</v>
      </c>
      <c r="AW38" s="303">
        <f>INDEX($A$35:$H$42,MATCH($L38,$B$35:$B$42,0),MATCH($AO$34,$A$35:$H$35,0))*고양시_Modal_split!K$3 * 0.01</f>
        <v>9.1102981933176147E-3</v>
      </c>
      <c r="AX38" s="303">
        <f>INDEX($A$35:$H$42,MATCH($L38,$B$35:$B$42,0),MATCH($AO$34,$A$35:$H$35,0))*고양시_Modal_split!L$3 * 0.01</f>
        <v>0.18342067029212797</v>
      </c>
      <c r="AY38" s="303">
        <f>INDEX($A$35:$H$42,MATCH($L38,$B$35:$B$42,0),MATCH($AO$34,$A$35:$H$35,0))*고양시_Modal_split!M$3 * 0.01</f>
        <v>1.3969123896420341E-2</v>
      </c>
      <c r="AZ38" s="303">
        <f>INDEX($A$35:$H$42,MATCH($L38,$B$35:$B$42,0),MATCH($AO$34,$A$35:$H$35,0))*고양시_Modal_split!N$3 * 0.01</f>
        <v>6.0735321288784092E-3</v>
      </c>
      <c r="BA38" s="207">
        <f>INDEX($A$35:$H$42,MATCH($L38,$B$35:$B$42,0),MATCH($AO$34,$A$35:$H$35,0))*고양시_Modal_split!O$3 * 0.01</f>
        <v>1.0932357831981137E-2</v>
      </c>
      <c r="BB38" s="207">
        <f>INDEX($A$35:$H$42,MATCH($L38,$B$35:$B$42,0),MATCH($AO$34,$A$35:$H$35,0))*고양시_Modal_split!P$3 * 0.01</f>
        <v>6.0735321288784103</v>
      </c>
      <c r="BC38" s="207">
        <f>INDEX($A$35:$H$42,MATCH($L38,$B$35:$B$42,0),MATCH($BC$34,$A$35:$H$35,0))*고양시_Modal_split!C$3 * 0.01</f>
        <v>4.6117667690466378E-5</v>
      </c>
      <c r="BD38" s="207">
        <f>INDEX($A$35:$H$42,MATCH($L38,$B$35:$B$42,0),MATCH($BC$34,$A$35:$H$35,0))*고양시_Modal_split!D$3 * 0.01</f>
        <v>7.746121112437979E-3</v>
      </c>
      <c r="BE38" s="207">
        <f>INDEX($A$35:$H$42,MATCH($L38,$B$35:$B$42,0),MATCH($BC$34,$A$35:$H$35,0))*고양시_Modal_split!E$3 * 0.01</f>
        <v>9.3717688985269182E-4</v>
      </c>
      <c r="BF38" s="207">
        <f>INDEX($A$35:$H$42,MATCH($L38,$B$35:$B$42,0),MATCH($BC$34,$A$35:$H$35,0))*고양시_Modal_split!F$3 * 0.01</f>
        <v>1.5103536168627741E-3</v>
      </c>
      <c r="BG38" s="207">
        <f>INDEX($A$35:$H$42,MATCH($L38,$B$35:$B$42,0),MATCH($BC$34,$A$35:$H$35,0))*고양시_Modal_split!G$3 * 0.01</f>
        <v>1.5152947955438954E-4</v>
      </c>
      <c r="BH38" s="207">
        <f>INDEX($A$35:$H$42,MATCH($L38,$B$35:$B$42,0),MATCH($BC$34,$A$35:$H$35,0))*고양시_Modal_split!H$3 * 0.01</f>
        <v>1.6470595603737996E-6</v>
      </c>
      <c r="BI38" s="207">
        <f>INDEX($A$35:$H$42,MATCH($L38,$B$35:$B$42,0),MATCH($BC$34,$A$35:$H$35,0))*고양시_Modal_split!I$3 * 0.01</f>
        <v>4.5788255778391623E-4</v>
      </c>
      <c r="BJ38" s="207">
        <f>INDEX($A$35:$H$42,MATCH($L38,$B$35:$B$42,0),MATCH($BC$34,$A$35:$H$35,0))*고양시_Modal_split!J$3 * 0.01</f>
        <v>5.013649301777846E-3</v>
      </c>
      <c r="BK38" s="207">
        <f>INDEX($A$35:$H$42,MATCH($L38,$B$35:$B$42,0),MATCH($BC$34,$A$35:$H$35,0))*고양시_Modal_split!K$3 * 0.01</f>
        <v>2.4705893405606989E-5</v>
      </c>
      <c r="BL38" s="207">
        <f>INDEX($A$35:$H$42,MATCH($L38,$B$35:$B$42,0),MATCH($BC$34,$A$35:$H$35,0))*고양시_Modal_split!L$3 * 0.01</f>
        <v>4.9741198723288747E-4</v>
      </c>
      <c r="BM38" s="207">
        <f>INDEX($A$35:$H$42,MATCH($L38,$B$35:$B$42,0),MATCH($BC$34,$A$35:$H$35,0))*고양시_Modal_split!M$3 * 0.01</f>
        <v>3.7882369888597386E-5</v>
      </c>
      <c r="BN38" s="207">
        <f>INDEX($A$35:$H$42,MATCH($L38,$B$35:$B$42,0),MATCH($BC$34,$A$35:$H$35,0))*고양시_Modal_split!N$3 * 0.01</f>
        <v>1.6470595603737998E-5</v>
      </c>
      <c r="BO38" s="207">
        <f>INDEX($A$35:$H$42,MATCH($L38,$B$35:$B$42,0),MATCH($BC$34,$A$35:$H$35,0))*고양시_Modal_split!O$3 * 0.01</f>
        <v>2.9647072086728391E-5</v>
      </c>
      <c r="BP38" s="207">
        <f>INDEX($A$35:$H$42,MATCH($L38,$B$35:$B$42,0),MATCH($BC$34,$A$35:$H$35,0))*고양시_Modal_split!P$3 * 0.01</f>
        <v>1.6470595603737995E-2</v>
      </c>
      <c r="BQ38" s="207">
        <f>INDEX($A$35:$H$42,MATCH($L38,$B$35:$B$42,0),MATCH($BQ$34,$A$35:$H$35,0))*고양시_Modal_split!C$3 * 0.01</f>
        <v>1.3066672512298852E-4</v>
      </c>
      <c r="BR38" s="207">
        <f>INDEX($A$35:$H$42,MATCH($L38,$B$35:$B$42,0),MATCH($BQ$34,$A$35:$H$35,0))*고양시_Modal_split!D$3 * 0.01</f>
        <v>2.1947343151907682E-2</v>
      </c>
      <c r="BS38" s="207">
        <f>INDEX($A$35:$H$42,MATCH($L38,$B$35:$B$42,0),MATCH($BQ$34,$A$35:$H$35,0))*고양시_Modal_split!E$3 * 0.01</f>
        <v>2.6553345212493025E-3</v>
      </c>
      <c r="BT38" s="207">
        <f>INDEX($A$35:$H$42,MATCH($L38,$B$35:$B$42,0),MATCH($BQ$34,$A$35:$H$35,0))*고양시_Modal_split!F$3 * 0.01</f>
        <v>4.2793352477778742E-3</v>
      </c>
      <c r="BU38" s="207">
        <f>INDEX($A$35:$H$42,MATCH($L38,$B$35:$B$42,0),MATCH($BQ$34,$A$35:$H$35,0))*고양시_Modal_split!G$3 * 0.01</f>
        <v>4.293335254041051E-4</v>
      </c>
      <c r="BV38" s="207">
        <f>INDEX($A$35:$H$42,MATCH($L38,$B$35:$B$42,0),MATCH($BQ$34,$A$35:$H$35,0))*고양시_Modal_split!H$3 * 0.01</f>
        <v>4.666668754392447E-6</v>
      </c>
      <c r="BW38" s="207">
        <f>INDEX($A$35:$H$42,MATCH($L38,$B$35:$B$42,0),MATCH($BQ$34,$A$35:$H$35,0))*고양시_Modal_split!I$3 * 0.01</f>
        <v>1.2973339137211002E-3</v>
      </c>
      <c r="BX38" s="207">
        <f>INDEX($A$35:$H$42,MATCH($L38,$B$35:$B$42,0),MATCH($BQ$34,$A$35:$H$35,0))*고양시_Modal_split!J$3 * 0.01</f>
        <v>1.4205339688370611E-2</v>
      </c>
      <c r="BY38" s="207">
        <f>INDEX($A$35:$H$42,MATCH($L38,$B$35:$B$42,0),MATCH($BQ$34,$A$35:$H$35,0))*고양시_Modal_split!K$3 * 0.01</f>
        <v>7.0000031315886713E-5</v>
      </c>
      <c r="BZ38" s="207">
        <f>INDEX($A$35:$H$42,MATCH($L38,$B$35:$B$42,0),MATCH($BQ$34,$A$35:$H$35,0))*고양시_Modal_split!L$3 * 0.01</f>
        <v>1.4093339638265191E-3</v>
      </c>
      <c r="CA38" s="207">
        <f>INDEX($A$35:$H$42,MATCH($L38,$B$35:$B$42,0),MATCH($BQ$34,$A$35:$H$35,0))*고양시_Modal_split!M$3 * 0.01</f>
        <v>1.0733338135102628E-4</v>
      </c>
      <c r="CB38" s="207">
        <f>INDEX($A$35:$H$42,MATCH($L38,$B$35:$B$42,0),MATCH($BQ$34,$A$35:$H$35,0))*고양시_Modal_split!N$3 * 0.01</f>
        <v>4.6666687543924473E-5</v>
      </c>
      <c r="CC38" s="207">
        <f>INDEX($A$35:$H$42,MATCH($L38,$B$35:$B$42,0),MATCH($BQ$34,$A$35:$H$35,0))*고양시_Modal_split!O$3 * 0.01</f>
        <v>8.4000037579064056E-5</v>
      </c>
      <c r="CD38" s="207">
        <f>INDEX($A$35:$H$42,MATCH($L38,$B$35:$B$42,0),MATCH($BQ$34,$A$35:$H$35,0))*고양시_Modal_split!P$3 * 0.01</f>
        <v>4.666668754392448E-2</v>
      </c>
      <c r="CE38" s="304">
        <f t="shared" si="10"/>
        <v>0.45018145629946354</v>
      </c>
      <c r="CF38" s="304">
        <f t="shared" si="5"/>
        <v>75.614406749156316</v>
      </c>
      <c r="CG38" s="304">
        <f t="shared" si="5"/>
        <v>9.1483303083712411</v>
      </c>
      <c r="CH38" s="304">
        <f t="shared" si="5"/>
        <v>14.743442693807433</v>
      </c>
      <c r="CI38" s="304">
        <f t="shared" si="5"/>
        <v>1.479167642126809</v>
      </c>
      <c r="CJ38" s="304">
        <f t="shared" si="5"/>
        <v>1.6077909153552273E-2</v>
      </c>
      <c r="CK38" s="304">
        <f t="shared" si="5"/>
        <v>4.4696587446875311</v>
      </c>
      <c r="CL38" s="304">
        <f t="shared" si="5"/>
        <v>48.941155463413125</v>
      </c>
      <c r="CM38" s="304">
        <f t="shared" si="5"/>
        <v>0.24116863730328408</v>
      </c>
      <c r="CN38" s="304">
        <f t="shared" si="5"/>
        <v>4.8555285643727863</v>
      </c>
      <c r="CO38" s="304">
        <f t="shared" si="5"/>
        <v>0.36979191053170224</v>
      </c>
      <c r="CP38" s="304">
        <f t="shared" si="5"/>
        <v>0.16077909153552272</v>
      </c>
      <c r="CQ38" s="304">
        <f t="shared" si="5"/>
        <v>0.28940236476394093</v>
      </c>
      <c r="CR38" s="304">
        <f t="shared" si="5"/>
        <v>160.77909153552272</v>
      </c>
      <c r="CS38" s="305">
        <f t="shared" si="11"/>
        <v>0</v>
      </c>
      <c r="CV38" s="265"/>
      <c r="CW38" s="265" t="s">
        <v>714</v>
      </c>
      <c r="CX38" s="267">
        <f>INDEX($M$34:$Z$42,MATCH($CW38,$L$34:$L$42,0),MATCH(CX$35,$M$35:$Z$35,0))/INDEX(고양시_재차인원!$D$4:$H$35,MATCH("고양시",고양시_재차인원!$B$4:$B$35,0),MATCH($CX$34,고양시_재차인원!$D$4:$H$4,0))</f>
        <v>7.3991594376100442</v>
      </c>
      <c r="CY38" s="267">
        <f>INDEX($M$34:$Z$42,MATCH($CW38,$L$34:$L$42,0),MATCH(CY$35,$M$35:$Z$35,0))/INDEX(고양시_재차인원!$K$4:$O$20,MATCH("경기도",고양시_재차인원!$K$4:$K$20,0),MATCH(CY$35,고양시_재차인원!$K$4:$O$4,0))</f>
        <v>6.1204557821230998E-5</v>
      </c>
      <c r="CZ38" s="267">
        <f>INDEX($M$34:$Z$42,MATCH($CW38,$L$34:$L$42,0),MATCH(CZ$35,$M$35:$Z$35,0))/INDEX(고양시_재차인원!$K$4:$O$20,MATCH("경기도",고양시_재차인원!$K$4:$K$20,0),MATCH(CZ$35,고양시_재차인원!$K$4:$O$4,0))</f>
        <v>1.7014867074302217E-2</v>
      </c>
      <c r="DA38" s="267">
        <f>INDEX($M$34:$Z$42,MATCH($CW38,$L$34:$L$42,0),MATCH(DA$35,$M$35:$Z$35,0))/INDEX(고양시_재차인원!$D$4:$H$35,MATCH("고양시",고양시_재차인원!$B$4:$B$35,0),MATCH($CX$34,고양시_재차인원!$D$4:$H$4,0))</f>
        <v>0.47513207530474871</v>
      </c>
      <c r="DB38" s="267">
        <f>INDEX($AA$34:$AN$42,MATCH($CW38,$L$34:$L$42,0),MATCH(DB$35,$AA$35:$AN$35,0))/INDEX(고양시_재차인원!$D$4:$H$35,MATCH("고양시",고양시_재차인원!$B$4:$B$35,0),MATCH($DB$34,고양시_재차인원!$D$4:$H$4,0))</f>
        <v>45.703030180537034</v>
      </c>
      <c r="DC38" s="267">
        <f>INDEX($AA$34:$AN$42,MATCH($CW38,$L$34:$L$42,0),MATCH(DC$35,$AA$35:$AN$35,0))/INDEX(고양시_재차인원!$K$4:$O$20,MATCH("경기도",고양시_재차인원!$K$4:$K$20,0),MATCH(DC$35,고양시_재차인원!$K$4:$O$4,0))</f>
        <v>4.7593480349692342E-4</v>
      </c>
      <c r="DD38" s="267">
        <f>INDEX($AA$34:$AN$42,MATCH($CW38,$L$34:$L$42,0),MATCH(DD$35,$AA$35:$AN$35,0))/INDEX(고양시_재차인원!$K$4:$O$20,MATCH("경기도",고양시_재차인원!$K$4:$K$20,0),MATCH(DD$35,고양시_재차인원!$K$4:$O$4,0))</f>
        <v>0.1323098753721447</v>
      </c>
      <c r="DE38" s="267">
        <f>INDEX($AA$34:$AN$42,MATCH($CW38,$L$34:$L$42,0),MATCH(DE$35,$AA$35:$AN$35,0))/INDEX(고양시_재차인원!$D$4:$H$35,MATCH("고양시",고양시_재차인원!$B$4:$B$35,0),MATCH($DB$34,고양시_재차인원!$D$4:$H$4,0))</f>
        <v>2.9347895204172203</v>
      </c>
      <c r="DF38" s="267">
        <f>INDEX($AO$34:$BB$42,MATCH($CW38,$L$34:$L$42,0),MATCH(DF$35,$AO$35:$BB$35,0))/INDEX(고양시_재차인원!$D$4:$H$35,MATCH("고양시",고양시_재차인원!$B$4:$B$35,0),MATCH($DF$34,고양시_재차인원!$D$4:$H$4,0))</f>
        <v>2.1972170463165508</v>
      </c>
      <c r="DG38" s="267">
        <f>INDEX($AO$34:$BB$42,MATCH($CW38,$L$34:$L$42,0),MATCH(DG$35,$AO$35:$BB$35,0))/INDEX(고양시_재차인원!$K$4:$O$20,MATCH("경기도",고양시_재차인원!$K$4:$K$20,0),MATCH(DG$35,고양시_재차인원!$K$4:$O$4,0))</f>
        <v>2.1095978217708961E-5</v>
      </c>
      <c r="DH38" s="267">
        <f>INDEX($AO$34:$BB$42,MATCH($CW38,$L$34:$L$42,0),MATCH(DH$35,$AO$35:$BB$35,0))/INDEX(고양시_재차인원!$K$4:$O$20,MATCH("경기도",고양시_재차인원!$K$4:$K$20,0),MATCH(DH$35,고양시_재차인원!$K$4:$O$4,0))</f>
        <v>5.8646819445230909E-3</v>
      </c>
      <c r="DI38" s="267">
        <f>INDEX($AO$34:$BB$42,MATCH($CW38,$L$34:$L$42,0),MATCH(DI$35,$AO$35:$BB$35,0))/INDEX(고양시_재차인원!$D$4:$H$35,MATCH("고양시",고양시_재차인원!$B$4:$B$35,0),MATCH($DF$34,고양시_재차인원!$D$4:$H$4,0))</f>
        <v>0.14109282330163689</v>
      </c>
      <c r="DJ38" s="267">
        <f>INDEX($BC$34:$BP$42,MATCH($CW38,$L$34:$L$42,0),MATCH(DJ$35,$BC$35:$BP$35,0))/INDEX(고양시_재차인원!$D$4:$H$35,MATCH("고양시",고양시_재차인원!$B$4:$B$35,0),MATCH($DJ$34,고양시_재차인원!$D$4:$H$4,0))</f>
        <v>5.6956772885573374E-3</v>
      </c>
      <c r="DK38" s="267">
        <f>INDEX($BC$34:$BP$42,MATCH($CW38,$L$34:$L$42,0),MATCH(DK$35,$BC$35:$BP$35,0))/INDEX(고양시_재차인원!$K$4:$O$20,MATCH("경기도",고양시_재차인원!$K$4:$K$20,0),MATCH(DK$35,고양시_재차인원!$K$4:$O$4,0))</f>
        <v>5.7209432454803738E-8</v>
      </c>
      <c r="DL38" s="267">
        <f>INDEX($BC$34:$BP$42,MATCH($CW38,$L$34:$L$42,0),MATCH(DL$35,$BC$35:$BP$35,0))/INDEX(고양시_재차인원!$K$4:$O$20,MATCH("경기도",고양시_재차인원!$K$4:$K$20,0),MATCH(DL$35,고양시_재차인원!$K$4:$O$4,0))</f>
        <v>1.5904222222435439E-5</v>
      </c>
      <c r="DM38" s="267">
        <f>INDEX($BC$34:$BP$42,MATCH($CW38,$L$34:$L$42,0),MATCH(DM$35,$BC$35:$BP$35,0))/INDEX(고양시_재차인원!$D$4:$H$35,MATCH("고양시",고양시_재차인원!$B$4:$B$35,0),MATCH($DJ$34,고양시_재차인원!$D$4:$H$4,0))</f>
        <v>3.6574410825947608E-4</v>
      </c>
      <c r="DN38" s="267">
        <f>INDEX($BQ$34:$CD$42,MATCH($CW38,$L$34:$L$42,0),MATCH(DN$35,$BQ$35:$CD$35,0))/INDEX(고양시_재차인원!$D$4:$H$35,MATCH("고양시",고양시_재차인원!$B$4:$B$35,0),MATCH($DN$34,고양시_재차인원!$D$4:$H$4,0))</f>
        <v>1.7418526311037841E-2</v>
      </c>
      <c r="DO38" s="267">
        <f>INDEX($BQ$34:$CD$42,MATCH($CW38,$L$34:$L$42,0),MATCH(DO$35,$BQ$35:$CD$35,0))/INDEX(고양시_재차인원!$K$4:$O$20,MATCH("경기도",고양시_재차인원!$K$4:$K$20,0),MATCH(DO$35,고양시_재차인원!$K$4:$O$4,0))</f>
        <v>1.6209339195527779E-7</v>
      </c>
      <c r="DP38" s="267">
        <f>INDEX($BQ$34:$CD$42,MATCH($CW38,$L$34:$L$42,0),MATCH(DP$35,$BQ$35:$CD$35,0))/INDEX(고양시_재차인원!$K$4:$O$20,MATCH("경기도",고양시_재차인원!$K$4:$K$20,0),MATCH(DP$35,고양시_재차인원!$K$4:$O$4,0))</f>
        <v>4.5061962963567218E-5</v>
      </c>
      <c r="DQ38" s="267">
        <f>INDEX($BQ$34:$CD$42,MATCH($CW38,$L$34:$L$42,0),MATCH(DQ$35,$BQ$35:$CD$35,0))/INDEX(고양시_재차인원!$D$4:$H$35,MATCH("고양시",고양시_재차인원!$B$4:$B$35,0),MATCH($DN$34,고양시_재차인원!$D$4:$H$4,0))</f>
        <v>1.1185190189099358E-3</v>
      </c>
      <c r="DR38" s="270">
        <f t="shared" si="12"/>
        <v>55.322520868063229</v>
      </c>
      <c r="DS38" s="270">
        <f t="shared" si="6"/>
        <v>5.5845464236027337E-4</v>
      </c>
      <c r="DT38" s="270">
        <f t="shared" si="6"/>
        <v>0.155250390576156</v>
      </c>
      <c r="DU38" s="270">
        <f t="shared" si="6"/>
        <v>3.5524986821507754</v>
      </c>
      <c r="DW38" s="278"/>
      <c r="DX38" s="278" t="s">
        <v>714</v>
      </c>
      <c r="DY38" s="281">
        <f t="shared" si="13"/>
        <v>58.875019550214006</v>
      </c>
      <c r="DZ38" s="281">
        <f t="shared" si="14"/>
        <v>0.15580884521851626</v>
      </c>
      <c r="EB38" s="278"/>
      <c r="EC38" s="278" t="s">
        <v>669</v>
      </c>
      <c r="ED38" s="281">
        <f t="shared" si="15"/>
        <v>58.875019550214006</v>
      </c>
      <c r="EE38" s="281">
        <f t="shared" si="7"/>
        <v>0.15580884521851626</v>
      </c>
    </row>
    <row r="39" spans="1:157" ht="37.5">
      <c r="A39" s="205" t="s">
        <v>702</v>
      </c>
      <c r="B39" s="205" t="s">
        <v>719</v>
      </c>
      <c r="C39" s="400">
        <f>$D11*KTDB_TripDistribution_2035!L$12 * (1+KTDB_발생량도착량_증가율!$C$8) * (1+KTDB_발생량도착량_증가율!$D$7*5) * (1+KTDB_발생량도착량_증가율!$E$7*5)</f>
        <v>0</v>
      </c>
      <c r="D39" s="400">
        <f>$D11*KTDB_TripDistribution_2035!M$12 * (1+KTDB_발생량도착량_증가율!$C$8) * (1+KTDB_발생량도착량_증가율!$D$7*5) * (1+KTDB_발생량도착량_증가율!$E$7*5)</f>
        <v>0</v>
      </c>
      <c r="E39" s="400">
        <f>$D11*KTDB_TripDistribution_2035!N$12 * (1+KTDB_발생량도착량_증가율!$C$8) * (1+KTDB_발생량도착량_증가율!$D$7*5) * (1+KTDB_발생량도착량_증가율!$E$7*5)</f>
        <v>0</v>
      </c>
      <c r="F39" s="400">
        <f>$D11*KTDB_TripDistribution_2035!O$12 * (1+KTDB_발생량도착량_증가율!$C$8) * (1+KTDB_발생량도착량_증가율!$D$7*5) * (1+KTDB_발생량도착량_증가율!$E$7*5)</f>
        <v>0</v>
      </c>
      <c r="G39" s="400">
        <f>$D11*KTDB_TripDistribution_2035!P$12 * (1+KTDB_발생량도착량_증가율!$C$8) * (1+KTDB_발생량도착량_증가율!$D$7*5) * (1+KTDB_발생량도착량_증가율!$E$7*5)</f>
        <v>0</v>
      </c>
      <c r="H39" s="400">
        <f>$D11*KTDB_TripDistribution_2035!Q$12 * (1+KTDB_발생량도착량_증가율!$C$8) * (1+KTDB_발생량도착량_증가율!$D$7*5) * (1+KTDB_발생량도착량_증가율!$E$7*5)</f>
        <v>0</v>
      </c>
      <c r="J39" s="230">
        <f t="shared" si="4"/>
        <v>0</v>
      </c>
      <c r="K39" s="206"/>
      <c r="L39" s="206" t="s">
        <v>718</v>
      </c>
      <c r="M39" s="206">
        <f>INDEX($A$35:$H$42,MATCH($L39,$B$35:$B$42,0),MATCH($M$34,$A$35:$H$35,0))*고양시_Modal_split!C$3 * 0.01</f>
        <v>0</v>
      </c>
      <c r="N39" s="206">
        <f>INDEX($A$35:$H$42,MATCH($L39,$B$35:$B$42,0),MATCH($M$34,$A$35:$H$35,0))*고양시_Modal_split!D$3 * 0.01</f>
        <v>0</v>
      </c>
      <c r="O39" s="206">
        <f>INDEX($A$35:$H$42,MATCH($L39,$B$35:$B$42,0),MATCH($M$34,$A$35:$H$35,0))*고양시_Modal_split!E$3 * 0.01</f>
        <v>0</v>
      </c>
      <c r="P39" s="206">
        <f>INDEX($A$35:$H$42,MATCH($L39,$B$35:$B$42,0),MATCH($M$34,$A$35:$H$35,0))*고양시_Modal_split!F$3 * 0.01</f>
        <v>0</v>
      </c>
      <c r="Q39" s="206">
        <f>INDEX($A$35:$H$42,MATCH($L39,$B$35:$B$42,0),MATCH($M$34,$A$35:$H$35,0))*고양시_Modal_split!G$3 * 0.01</f>
        <v>0</v>
      </c>
      <c r="R39" s="206">
        <f>INDEX($A$35:$H$42,MATCH($L39,$B$35:$B$42,0),MATCH($M$34,$A$35:$H$35,0))*고양시_Modal_split!H$3 * 0.01</f>
        <v>0</v>
      </c>
      <c r="S39" s="206">
        <f>INDEX($A$35:$H$42,MATCH($L39,$B$35:$B$42,0),MATCH($M$34,$A$35:$H$35,0))*고양시_Modal_split!I$3 * 0.01</f>
        <v>0</v>
      </c>
      <c r="T39" s="206">
        <f>INDEX($A$35:$H$42,MATCH($L39,$B$35:$B$42,0),MATCH($M$34,$A$35:$H$35,0))*고양시_Modal_split!J$3 * 0.01</f>
        <v>0</v>
      </c>
      <c r="U39" s="206">
        <f>INDEX($A$35:$H$42,MATCH($L39,$B$35:$B$42,0),MATCH($M$34,$A$35:$H$35,0))*고양시_Modal_split!K$3 * 0.01</f>
        <v>0</v>
      </c>
      <c r="V39" s="206">
        <f>INDEX($A$35:$H$42,MATCH($L39,$B$35:$B$42,0),MATCH($M$34,$A$35:$H$35,0))*고양시_Modal_split!L$3 * 0.01</f>
        <v>0</v>
      </c>
      <c r="W39" s="206">
        <f>INDEX($A$35:$H$42,MATCH($L39,$B$35:$B$42,0),MATCH($M$34,$A$35:$H$35,0))*고양시_Modal_split!M$3 * 0.01</f>
        <v>0</v>
      </c>
      <c r="X39" s="206">
        <f>INDEX($A$35:$H$42,MATCH($L39,$B$35:$B$42,0),MATCH($M$34,$A$35:$H$35,0))*고양시_Modal_split!N$3 * 0.01</f>
        <v>0</v>
      </c>
      <c r="Y39" s="206">
        <f>INDEX($A$35:$H$42,MATCH($L39,$B$35:$B$42,0),MATCH($M$34,$A$35:$H$35,0))*고양시_Modal_split!O$3 * 0.01</f>
        <v>0</v>
      </c>
      <c r="Z39" s="209">
        <f>INDEX($A$35:$H$42,MATCH($L39,$B$35:$B$42,0),MATCH($M$34,$A$35:$H$35,0))*고양시_Modal_split!P$3 * 0.01</f>
        <v>0</v>
      </c>
      <c r="AA39" s="207">
        <f>INDEX($A$35:$H$42,MATCH($L39,$B$35:$B$42,0),MATCH($AA$34,$A$35:$H$35,0))*고양시_Modal_split!C$3 * 0.01</f>
        <v>0</v>
      </c>
      <c r="AB39" s="207">
        <f>INDEX($A$35:$H$42,MATCH($L39,$B$35:$B$42,0),MATCH($AA$34,$A$35:$H$35,0))*고양시_Modal_split!D$3 * 0.01</f>
        <v>0</v>
      </c>
      <c r="AC39" s="207">
        <f>INDEX($A$35:$H$42,MATCH($L39,$B$35:$B$42,0),MATCH($AA$34,$A$35:$H$35,0))*고양시_Modal_split!E$3 * 0.01</f>
        <v>0</v>
      </c>
      <c r="AD39" s="207">
        <f>INDEX($A$35:$H$42,MATCH($L39,$B$35:$B$42,0),MATCH($AA$34,$A$35:$H$35,0))*고양시_Modal_split!F$3 * 0.01</f>
        <v>0</v>
      </c>
      <c r="AE39" s="207">
        <f>INDEX($A$35:$H$42,MATCH($L39,$B$35:$B$42,0),MATCH($AA$34,$A$35:$H$35,0))*고양시_Modal_split!G$3 * 0.01</f>
        <v>0</v>
      </c>
      <c r="AF39" s="207">
        <f>INDEX($A$35:$H$42,MATCH($L39,$B$35:$B$42,0),MATCH($AA$34,$A$35:$H$35,0))*고양시_Modal_split!H$3 * 0.01</f>
        <v>0</v>
      </c>
      <c r="AG39" s="207">
        <f>INDEX($A$35:$H$42,MATCH($L39,$B$35:$B$42,0),MATCH($AA$34,$A$35:$H$35,0))*고양시_Modal_split!I$3 * 0.01</f>
        <v>0</v>
      </c>
      <c r="AH39" s="207">
        <f>INDEX($A$35:$H$42,MATCH($L39,$B$35:$B$42,0),MATCH($AA$34,$A$35:$H$35,0))*고양시_Modal_split!J$3 * 0.01</f>
        <v>0</v>
      </c>
      <c r="AI39" s="207">
        <f>INDEX($A$35:$H$42,MATCH($L39,$B$35:$B$42,0),MATCH($AA$34,$A$35:$H$35,0))*고양시_Modal_split!K$3 * 0.01</f>
        <v>0</v>
      </c>
      <c r="AJ39" s="207">
        <f>INDEX($A$35:$H$42,MATCH($L39,$B$35:$B$42,0),MATCH($AA$34,$A$35:$H$35,0))*고양시_Modal_split!L$3 * 0.01</f>
        <v>0</v>
      </c>
      <c r="AK39" s="207">
        <f>INDEX($A$35:$H$42,MATCH($L39,$B$35:$B$42,0),MATCH($AA$34,$A$35:$H$35,0))*고양시_Modal_split!M$3 * 0.01</f>
        <v>0</v>
      </c>
      <c r="AL39" s="207">
        <f>INDEX($A$35:$H$42,MATCH($L39,$B$35:$B$42,0),MATCH($AA$34,$A$35:$H$35,0))*고양시_Modal_split!N$3 * 0.01</f>
        <v>0</v>
      </c>
      <c r="AM39" s="207">
        <f>INDEX($A$35:$H$42,MATCH($L39,$B$35:$B$42,0),MATCH($AA$34,$A$35:$H$35,0))*고양시_Modal_split!O$3 * 0.01</f>
        <v>0</v>
      </c>
      <c r="AN39" s="207">
        <f>INDEX($A$35:$H$42,MATCH($L39,$B$35:$B$42,0),MATCH($AA$34,$A$35:$H$35,0))*고양시_Modal_split!P$3 * 0.01</f>
        <v>0</v>
      </c>
      <c r="AO39" s="303">
        <f>INDEX($A$35:$H$42,MATCH($L39,$B$35:$B$42,0),MATCH($AO$34,$A$35:$H$35,0))*고양시_Modal_split!C$3 * 0.01</f>
        <v>0</v>
      </c>
      <c r="AP39" s="303">
        <f>INDEX($A$35:$H$42,MATCH($L39,$B$35:$B$42,0),MATCH($AO$34,$A$35:$H$35,0))*고양시_Modal_split!D$3 * 0.01</f>
        <v>0</v>
      </c>
      <c r="AQ39" s="303">
        <f>INDEX($A$35:$H$42,MATCH($L39,$B$35:$B$42,0),MATCH($AO$34,$A$35:$H$35,0))*고양시_Modal_split!E$3 * 0.01</f>
        <v>0</v>
      </c>
      <c r="AR39" s="303">
        <f>INDEX($A$35:$H$42,MATCH($L39,$B$35:$B$42,0),MATCH($AO$34,$A$35:$H$35,0))*고양시_Modal_split!F$3 * 0.01</f>
        <v>0</v>
      </c>
      <c r="AS39" s="303">
        <f>INDEX($A$35:$H$42,MATCH($L39,$B$35:$B$42,0),MATCH($AO$34,$A$35:$H$35,0))*고양시_Modal_split!G$3 * 0.01</f>
        <v>0</v>
      </c>
      <c r="AT39" s="303">
        <f>INDEX($A$35:$H$42,MATCH($L39,$B$35:$B$42,0),MATCH($AO$34,$A$35:$H$35,0))*고양시_Modal_split!H$3 * 0.01</f>
        <v>0</v>
      </c>
      <c r="AU39" s="303">
        <f>INDEX($A$35:$H$42,MATCH($L39,$B$35:$B$42,0),MATCH($AO$34,$A$35:$H$35,0))*고양시_Modal_split!I$3 * 0.01</f>
        <v>0</v>
      </c>
      <c r="AV39" s="303">
        <f>INDEX($A$35:$H$42,MATCH($L39,$B$35:$B$42,0),MATCH($AO$34,$A$35:$H$35,0))*고양시_Modal_split!J$3 * 0.01</f>
        <v>0</v>
      </c>
      <c r="AW39" s="303">
        <f>INDEX($A$35:$H$42,MATCH($L39,$B$35:$B$42,0),MATCH($AO$34,$A$35:$H$35,0))*고양시_Modal_split!K$3 * 0.01</f>
        <v>0</v>
      </c>
      <c r="AX39" s="303">
        <f>INDEX($A$35:$H$42,MATCH($L39,$B$35:$B$42,0),MATCH($AO$34,$A$35:$H$35,0))*고양시_Modal_split!L$3 * 0.01</f>
        <v>0</v>
      </c>
      <c r="AY39" s="303">
        <f>INDEX($A$35:$H$42,MATCH($L39,$B$35:$B$42,0),MATCH($AO$34,$A$35:$H$35,0))*고양시_Modal_split!M$3 * 0.01</f>
        <v>0</v>
      </c>
      <c r="AZ39" s="303">
        <f>INDEX($A$35:$H$42,MATCH($L39,$B$35:$B$42,0),MATCH($AO$34,$A$35:$H$35,0))*고양시_Modal_split!N$3 * 0.01</f>
        <v>0</v>
      </c>
      <c r="BA39" s="207">
        <f>INDEX($A$35:$H$42,MATCH($L39,$B$35:$B$42,0),MATCH($AO$34,$A$35:$H$35,0))*고양시_Modal_split!O$3 * 0.01</f>
        <v>0</v>
      </c>
      <c r="BB39" s="207">
        <f>INDEX($A$35:$H$42,MATCH($L39,$B$35:$B$42,0),MATCH($AO$34,$A$35:$H$35,0))*고양시_Modal_split!P$3 * 0.01</f>
        <v>0</v>
      </c>
      <c r="BC39" s="207">
        <f>INDEX($A$35:$H$42,MATCH($L39,$B$35:$B$42,0),MATCH($BC$34,$A$35:$H$35,0))*고양시_Modal_split!C$3 * 0.01</f>
        <v>0</v>
      </c>
      <c r="BD39" s="207">
        <f>INDEX($A$35:$H$42,MATCH($L39,$B$35:$B$42,0),MATCH($BC$34,$A$35:$H$35,0))*고양시_Modal_split!D$3 * 0.01</f>
        <v>0</v>
      </c>
      <c r="BE39" s="207">
        <f>INDEX($A$35:$H$42,MATCH($L39,$B$35:$B$42,0),MATCH($BC$34,$A$35:$H$35,0))*고양시_Modal_split!E$3 * 0.01</f>
        <v>0</v>
      </c>
      <c r="BF39" s="207">
        <f>INDEX($A$35:$H$42,MATCH($L39,$B$35:$B$42,0),MATCH($BC$34,$A$35:$H$35,0))*고양시_Modal_split!F$3 * 0.01</f>
        <v>0</v>
      </c>
      <c r="BG39" s="207">
        <f>INDEX($A$35:$H$42,MATCH($L39,$B$35:$B$42,0),MATCH($BC$34,$A$35:$H$35,0))*고양시_Modal_split!G$3 * 0.01</f>
        <v>0</v>
      </c>
      <c r="BH39" s="207">
        <f>INDEX($A$35:$H$42,MATCH($L39,$B$35:$B$42,0),MATCH($BC$34,$A$35:$H$35,0))*고양시_Modal_split!H$3 * 0.01</f>
        <v>0</v>
      </c>
      <c r="BI39" s="207">
        <f>INDEX($A$35:$H$42,MATCH($L39,$B$35:$B$42,0),MATCH($BC$34,$A$35:$H$35,0))*고양시_Modal_split!I$3 * 0.01</f>
        <v>0</v>
      </c>
      <c r="BJ39" s="207">
        <f>INDEX($A$35:$H$42,MATCH($L39,$B$35:$B$42,0),MATCH($BC$34,$A$35:$H$35,0))*고양시_Modal_split!J$3 * 0.01</f>
        <v>0</v>
      </c>
      <c r="BK39" s="207">
        <f>INDEX($A$35:$H$42,MATCH($L39,$B$35:$B$42,0),MATCH($BC$34,$A$35:$H$35,0))*고양시_Modal_split!K$3 * 0.01</f>
        <v>0</v>
      </c>
      <c r="BL39" s="207">
        <f>INDEX($A$35:$H$42,MATCH($L39,$B$35:$B$42,0),MATCH($BC$34,$A$35:$H$35,0))*고양시_Modal_split!L$3 * 0.01</f>
        <v>0</v>
      </c>
      <c r="BM39" s="207">
        <f>INDEX($A$35:$H$42,MATCH($L39,$B$35:$B$42,0),MATCH($BC$34,$A$35:$H$35,0))*고양시_Modal_split!M$3 * 0.01</f>
        <v>0</v>
      </c>
      <c r="BN39" s="207">
        <f>INDEX($A$35:$H$42,MATCH($L39,$B$35:$B$42,0),MATCH($BC$34,$A$35:$H$35,0))*고양시_Modal_split!N$3 * 0.01</f>
        <v>0</v>
      </c>
      <c r="BO39" s="207">
        <f>INDEX($A$35:$H$42,MATCH($L39,$B$35:$B$42,0),MATCH($BC$34,$A$35:$H$35,0))*고양시_Modal_split!O$3 * 0.01</f>
        <v>0</v>
      </c>
      <c r="BP39" s="207">
        <f>INDEX($A$35:$H$42,MATCH($L39,$B$35:$B$42,0),MATCH($BC$34,$A$35:$H$35,0))*고양시_Modal_split!P$3 * 0.01</f>
        <v>0</v>
      </c>
      <c r="BQ39" s="207">
        <f>INDEX($A$35:$H$42,MATCH($L39,$B$35:$B$42,0),MATCH($BQ$34,$A$35:$H$35,0))*고양시_Modal_split!C$3 * 0.01</f>
        <v>0</v>
      </c>
      <c r="BR39" s="207">
        <f>INDEX($A$35:$H$42,MATCH($L39,$B$35:$B$42,0),MATCH($BQ$34,$A$35:$H$35,0))*고양시_Modal_split!D$3 * 0.01</f>
        <v>0</v>
      </c>
      <c r="BS39" s="207">
        <f>INDEX($A$35:$H$42,MATCH($L39,$B$35:$B$42,0),MATCH($BQ$34,$A$35:$H$35,0))*고양시_Modal_split!E$3 * 0.01</f>
        <v>0</v>
      </c>
      <c r="BT39" s="207">
        <f>INDEX($A$35:$H$42,MATCH($L39,$B$35:$B$42,0),MATCH($BQ$34,$A$35:$H$35,0))*고양시_Modal_split!F$3 * 0.01</f>
        <v>0</v>
      </c>
      <c r="BU39" s="207">
        <f>INDEX($A$35:$H$42,MATCH($L39,$B$35:$B$42,0),MATCH($BQ$34,$A$35:$H$35,0))*고양시_Modal_split!G$3 * 0.01</f>
        <v>0</v>
      </c>
      <c r="BV39" s="207">
        <f>INDEX($A$35:$H$42,MATCH($L39,$B$35:$B$42,0),MATCH($BQ$34,$A$35:$H$35,0))*고양시_Modal_split!H$3 * 0.01</f>
        <v>0</v>
      </c>
      <c r="BW39" s="207">
        <f>INDEX($A$35:$H$42,MATCH($L39,$B$35:$B$42,0),MATCH($BQ$34,$A$35:$H$35,0))*고양시_Modal_split!I$3 * 0.01</f>
        <v>0</v>
      </c>
      <c r="BX39" s="207">
        <f>INDEX($A$35:$H$42,MATCH($L39,$B$35:$B$42,0),MATCH($BQ$34,$A$35:$H$35,0))*고양시_Modal_split!J$3 * 0.01</f>
        <v>0</v>
      </c>
      <c r="BY39" s="207">
        <f>INDEX($A$35:$H$42,MATCH($L39,$B$35:$B$42,0),MATCH($BQ$34,$A$35:$H$35,0))*고양시_Modal_split!K$3 * 0.01</f>
        <v>0</v>
      </c>
      <c r="BZ39" s="207">
        <f>INDEX($A$35:$H$42,MATCH($L39,$B$35:$B$42,0),MATCH($BQ$34,$A$35:$H$35,0))*고양시_Modal_split!L$3 * 0.01</f>
        <v>0</v>
      </c>
      <c r="CA39" s="207">
        <f>INDEX($A$35:$H$42,MATCH($L39,$B$35:$B$42,0),MATCH($BQ$34,$A$35:$H$35,0))*고양시_Modal_split!M$3 * 0.01</f>
        <v>0</v>
      </c>
      <c r="CB39" s="207">
        <f>INDEX($A$35:$H$42,MATCH($L39,$B$35:$B$42,0),MATCH($BQ$34,$A$35:$H$35,0))*고양시_Modal_split!N$3 * 0.01</f>
        <v>0</v>
      </c>
      <c r="CC39" s="207">
        <f>INDEX($A$35:$H$42,MATCH($L39,$B$35:$B$42,0),MATCH($BQ$34,$A$35:$H$35,0))*고양시_Modal_split!O$3 * 0.01</f>
        <v>0</v>
      </c>
      <c r="CD39" s="207">
        <f>INDEX($A$35:$H$42,MATCH($L39,$B$35:$B$42,0),MATCH($BQ$34,$A$35:$H$35,0))*고양시_Modal_split!P$3 * 0.01</f>
        <v>0</v>
      </c>
      <c r="CE39" s="304">
        <f t="shared" si="10"/>
        <v>0</v>
      </c>
      <c r="CF39" s="304">
        <f t="shared" si="5"/>
        <v>0</v>
      </c>
      <c r="CG39" s="304">
        <f t="shared" si="5"/>
        <v>0</v>
      </c>
      <c r="CH39" s="304">
        <f t="shared" si="5"/>
        <v>0</v>
      </c>
      <c r="CI39" s="304">
        <f t="shared" si="5"/>
        <v>0</v>
      </c>
      <c r="CJ39" s="304">
        <f t="shared" si="5"/>
        <v>0</v>
      </c>
      <c r="CK39" s="304">
        <f t="shared" si="5"/>
        <v>0</v>
      </c>
      <c r="CL39" s="304">
        <f t="shared" si="5"/>
        <v>0</v>
      </c>
      <c r="CM39" s="304">
        <f t="shared" si="5"/>
        <v>0</v>
      </c>
      <c r="CN39" s="304">
        <f t="shared" si="5"/>
        <v>0</v>
      </c>
      <c r="CO39" s="304">
        <f t="shared" si="5"/>
        <v>0</v>
      </c>
      <c r="CP39" s="304">
        <f t="shared" si="5"/>
        <v>0</v>
      </c>
      <c r="CQ39" s="304">
        <f t="shared" si="5"/>
        <v>0</v>
      </c>
      <c r="CR39" s="304">
        <f t="shared" si="5"/>
        <v>0</v>
      </c>
      <c r="CS39" s="305">
        <f t="shared" si="11"/>
        <v>0</v>
      </c>
      <c r="CV39" s="265"/>
      <c r="CW39" s="265" t="s">
        <v>718</v>
      </c>
      <c r="CX39" s="267">
        <f>INDEX($M$34:$Z$42,MATCH($CW39,$L$34:$L$42,0),MATCH(CX$35,$M$35:$Z$35,0))/INDEX(고양시_재차인원!$D$4:$H$35,MATCH("고양시",고양시_재차인원!$B$4:$B$35,0),MATCH($CX$34,고양시_재차인원!$D$4:$H$4,0))</f>
        <v>0</v>
      </c>
      <c r="CY39" s="267">
        <f>INDEX($M$34:$Z$42,MATCH($CW39,$L$34:$L$42,0),MATCH(CY$35,$M$35:$Z$35,0))/INDEX(고양시_재차인원!$K$4:$O$20,MATCH("경기도",고양시_재차인원!$K$4:$K$20,0),MATCH(CY$35,고양시_재차인원!$K$4:$O$4,0))</f>
        <v>0</v>
      </c>
      <c r="CZ39" s="267">
        <f>INDEX($M$34:$Z$42,MATCH($CW39,$L$34:$L$42,0),MATCH(CZ$35,$M$35:$Z$35,0))/INDEX(고양시_재차인원!$K$4:$O$20,MATCH("경기도",고양시_재차인원!$K$4:$K$20,0),MATCH(CZ$35,고양시_재차인원!$K$4:$O$4,0))</f>
        <v>0</v>
      </c>
      <c r="DA39" s="267">
        <f>INDEX($M$34:$Z$42,MATCH($CW39,$L$34:$L$42,0),MATCH(DA$35,$M$35:$Z$35,0))/INDEX(고양시_재차인원!$D$4:$H$35,MATCH("고양시",고양시_재차인원!$B$4:$B$35,0),MATCH($CX$34,고양시_재차인원!$D$4:$H$4,0))</f>
        <v>0</v>
      </c>
      <c r="DB39" s="267">
        <f>INDEX($AA$34:$AN$42,MATCH($CW39,$L$34:$L$42,0),MATCH(DB$35,$AA$35:$AN$35,0))/INDEX(고양시_재차인원!$D$4:$H$35,MATCH("고양시",고양시_재차인원!$B$4:$B$35,0),MATCH($DB$34,고양시_재차인원!$D$4:$H$4,0))</f>
        <v>0</v>
      </c>
      <c r="DC39" s="267">
        <f>INDEX($AA$34:$AN$42,MATCH($CW39,$L$34:$L$42,0),MATCH(DC$35,$AA$35:$AN$35,0))/INDEX(고양시_재차인원!$K$4:$O$20,MATCH("경기도",고양시_재차인원!$K$4:$K$20,0),MATCH(DC$35,고양시_재차인원!$K$4:$O$4,0))</f>
        <v>0</v>
      </c>
      <c r="DD39" s="267">
        <f>INDEX($AA$34:$AN$42,MATCH($CW39,$L$34:$L$42,0),MATCH(DD$35,$AA$35:$AN$35,0))/INDEX(고양시_재차인원!$K$4:$O$20,MATCH("경기도",고양시_재차인원!$K$4:$K$20,0),MATCH(DD$35,고양시_재차인원!$K$4:$O$4,0))</f>
        <v>0</v>
      </c>
      <c r="DE39" s="267">
        <f>INDEX($AA$34:$AN$42,MATCH($CW39,$L$34:$L$42,0),MATCH(DE$35,$AA$35:$AN$35,0))/INDEX(고양시_재차인원!$D$4:$H$35,MATCH("고양시",고양시_재차인원!$B$4:$B$35,0),MATCH($DB$34,고양시_재차인원!$D$4:$H$4,0))</f>
        <v>0</v>
      </c>
      <c r="DF39" s="267">
        <f>INDEX($AO$34:$BB$42,MATCH($CW39,$L$34:$L$42,0),MATCH(DF$35,$AO$35:$BB$35,0))/INDEX(고양시_재차인원!$D$4:$H$35,MATCH("고양시",고양시_재차인원!$B$4:$B$35,0),MATCH($DF$34,고양시_재차인원!$D$4:$H$4,0))</f>
        <v>0</v>
      </c>
      <c r="DG39" s="267">
        <f>INDEX($AO$34:$BB$42,MATCH($CW39,$L$34:$L$42,0),MATCH(DG$35,$AO$35:$BB$35,0))/INDEX(고양시_재차인원!$K$4:$O$20,MATCH("경기도",고양시_재차인원!$K$4:$K$20,0),MATCH(DG$35,고양시_재차인원!$K$4:$O$4,0))</f>
        <v>0</v>
      </c>
      <c r="DH39" s="267">
        <f>INDEX($AO$34:$BB$42,MATCH($CW39,$L$34:$L$42,0),MATCH(DH$35,$AO$35:$BB$35,0))/INDEX(고양시_재차인원!$K$4:$O$20,MATCH("경기도",고양시_재차인원!$K$4:$K$20,0),MATCH(DH$35,고양시_재차인원!$K$4:$O$4,0))</f>
        <v>0</v>
      </c>
      <c r="DI39" s="267">
        <f>INDEX($AO$34:$BB$42,MATCH($CW39,$L$34:$L$42,0),MATCH(DI$35,$AO$35:$BB$35,0))/INDEX(고양시_재차인원!$D$4:$H$35,MATCH("고양시",고양시_재차인원!$B$4:$B$35,0),MATCH($DF$34,고양시_재차인원!$D$4:$H$4,0))</f>
        <v>0</v>
      </c>
      <c r="DJ39" s="267">
        <f>INDEX($BC$34:$BP$42,MATCH($CW39,$L$34:$L$42,0),MATCH(DJ$35,$BC$35:$BP$35,0))/INDEX(고양시_재차인원!$D$4:$H$35,MATCH("고양시",고양시_재차인원!$B$4:$B$35,0),MATCH($DJ$34,고양시_재차인원!$D$4:$H$4,0))</f>
        <v>0</v>
      </c>
      <c r="DK39" s="267">
        <f>INDEX($BC$34:$BP$42,MATCH($CW39,$L$34:$L$42,0),MATCH(DK$35,$BC$35:$BP$35,0))/INDEX(고양시_재차인원!$K$4:$O$20,MATCH("경기도",고양시_재차인원!$K$4:$K$20,0),MATCH(DK$35,고양시_재차인원!$K$4:$O$4,0))</f>
        <v>0</v>
      </c>
      <c r="DL39" s="267">
        <f>INDEX($BC$34:$BP$42,MATCH($CW39,$L$34:$L$42,0),MATCH(DL$35,$BC$35:$BP$35,0))/INDEX(고양시_재차인원!$K$4:$O$20,MATCH("경기도",고양시_재차인원!$K$4:$K$20,0),MATCH(DL$35,고양시_재차인원!$K$4:$O$4,0))</f>
        <v>0</v>
      </c>
      <c r="DM39" s="267">
        <f>INDEX($BC$34:$BP$42,MATCH($CW39,$L$34:$L$42,0),MATCH(DM$35,$BC$35:$BP$35,0))/INDEX(고양시_재차인원!$D$4:$H$35,MATCH("고양시",고양시_재차인원!$B$4:$B$35,0),MATCH($DJ$34,고양시_재차인원!$D$4:$H$4,0))</f>
        <v>0</v>
      </c>
      <c r="DN39" s="267">
        <f>INDEX($BQ$34:$CD$42,MATCH($CW39,$L$34:$L$42,0),MATCH(DN$35,$BQ$35:$CD$35,0))/INDEX(고양시_재차인원!$D$4:$H$35,MATCH("고양시",고양시_재차인원!$B$4:$B$35,0),MATCH($DN$34,고양시_재차인원!$D$4:$H$4,0))</f>
        <v>0</v>
      </c>
      <c r="DO39" s="267">
        <f>INDEX($BQ$34:$CD$42,MATCH($CW39,$L$34:$L$42,0),MATCH(DO$35,$BQ$35:$CD$35,0))/INDEX(고양시_재차인원!$K$4:$O$20,MATCH("경기도",고양시_재차인원!$K$4:$K$20,0),MATCH(DO$35,고양시_재차인원!$K$4:$O$4,0))</f>
        <v>0</v>
      </c>
      <c r="DP39" s="267">
        <f>INDEX($BQ$34:$CD$42,MATCH($CW39,$L$34:$L$42,0),MATCH(DP$35,$BQ$35:$CD$35,0))/INDEX(고양시_재차인원!$K$4:$O$20,MATCH("경기도",고양시_재차인원!$K$4:$K$20,0),MATCH(DP$35,고양시_재차인원!$K$4:$O$4,0))</f>
        <v>0</v>
      </c>
      <c r="DQ39" s="267">
        <f>INDEX($BQ$34:$CD$42,MATCH($CW39,$L$34:$L$42,0),MATCH(DQ$35,$BQ$35:$CD$35,0))/INDEX(고양시_재차인원!$D$4:$H$35,MATCH("고양시",고양시_재차인원!$B$4:$B$35,0),MATCH($DN$34,고양시_재차인원!$D$4:$H$4,0))</f>
        <v>0</v>
      </c>
      <c r="DR39" s="270">
        <f t="shared" si="12"/>
        <v>0</v>
      </c>
      <c r="DS39" s="270">
        <f t="shared" si="6"/>
        <v>0</v>
      </c>
      <c r="DT39" s="270">
        <f t="shared" si="6"/>
        <v>0</v>
      </c>
      <c r="DU39" s="270">
        <f t="shared" si="6"/>
        <v>0</v>
      </c>
      <c r="DW39" s="278"/>
      <c r="DX39" s="278" t="s">
        <v>718</v>
      </c>
      <c r="DY39" s="281">
        <f t="shared" si="13"/>
        <v>0</v>
      </c>
      <c r="DZ39" s="281">
        <f t="shared" si="14"/>
        <v>0</v>
      </c>
      <c r="EB39" s="278"/>
      <c r="EC39" s="278" t="s">
        <v>671</v>
      </c>
      <c r="ED39" s="281">
        <f t="shared" si="15"/>
        <v>0</v>
      </c>
      <c r="EE39" s="281">
        <f t="shared" si="7"/>
        <v>0</v>
      </c>
    </row>
    <row r="40" spans="1:157" ht="25">
      <c r="A40" s="205" t="s">
        <v>702</v>
      </c>
      <c r="B40" s="205" t="s">
        <v>717</v>
      </c>
      <c r="C40" s="400">
        <f>$D12*KTDB_TripDistribution_2035!L$12 * (1+KTDB_발생량도착량_증가율!$C$8) * (1+KTDB_발생량도착량_증가율!$D$7*5) * (1+KTDB_발생량도착량_증가율!$E$7*5)</f>
        <v>48.373002782112522</v>
      </c>
      <c r="D40" s="400">
        <f>$D12*KTDB_TripDistribution_2035!M$12 * (1+KTDB_발생량도착량_증가율!$C$8) * (1+KTDB_발생량도착량_증가율!$D$7*5) * (1+KTDB_발생량도착량_증가율!$E$7*5)</f>
        <v>376.15492037219997</v>
      </c>
      <c r="E40" s="400">
        <f>$D12*KTDB_TripDistribution_2035!N$12 * (1+KTDB_발생량도착량_증가율!$C$8) * (1+KTDB_발생량도착량_증가율!$D$7*5) * (1+KTDB_발생량도착량_증가율!$E$7*5)</f>
        <v>16.67319966590188</v>
      </c>
      <c r="F40" s="400">
        <f>$D12*KTDB_TripDistribution_2035!O$12 * (1+KTDB_발생량도착량_증가율!$C$8) * (1+KTDB_발생량도착량_증가율!$D$7*5) * (1+KTDB_발생량도착량_증가율!$E$7*5)</f>
        <v>4.5215456721089661E-2</v>
      </c>
      <c r="G40" s="400">
        <f>$D12*KTDB_TripDistribution_2035!P$12 * (1+KTDB_발생량도착량_증가율!$C$8) * (1+KTDB_발생량도착량_증가율!$D$7*5) * (1+KTDB_발생량도착량_증가율!$E$7*5)</f>
        <v>0.12811046070975446</v>
      </c>
      <c r="H40" s="400">
        <f>$D12*KTDB_TripDistribution_2035!Q$12 * (1+KTDB_발생량도착량_증가율!$C$8) * (1+KTDB_발생량도착량_증가율!$D$7*5) * (1+KTDB_발생량도착량_증가율!$E$7*5)</f>
        <v>441.3744487376452</v>
      </c>
      <c r="J40" s="230">
        <f t="shared" si="4"/>
        <v>441.37444873764531</v>
      </c>
      <c r="K40" s="206"/>
      <c r="L40" s="206" t="s">
        <v>716</v>
      </c>
      <c r="M40" s="206">
        <f>INDEX($A$35:$H$42,MATCH($L40,$B$35:$B$42,0),MATCH($M$34,$A$35:$H$35,0))*고양시_Modal_split!C$3 * 0.01</f>
        <v>0.13544440778991504</v>
      </c>
      <c r="N40" s="206">
        <f>INDEX($A$35:$H$42,MATCH($L40,$B$35:$B$42,0),MATCH($M$34,$A$35:$H$35,0))*고양시_Modal_split!D$3 * 0.01</f>
        <v>22.749823208427522</v>
      </c>
      <c r="O40" s="206">
        <f>INDEX($A$35:$H$42,MATCH($L40,$B$35:$B$42,0),MATCH($M$34,$A$35:$H$35,0))*고양시_Modal_split!E$3 * 0.01</f>
        <v>2.752423858302202</v>
      </c>
      <c r="P40" s="206">
        <f>INDEX($A$35:$H$42,MATCH($L40,$B$35:$B$42,0),MATCH($M$34,$A$35:$H$35,0))*고양시_Modal_split!F$3 * 0.01</f>
        <v>4.4358043551197186</v>
      </c>
      <c r="Q40" s="206">
        <f>INDEX($A$35:$H$42,MATCH($L40,$B$35:$B$42,0),MATCH($M$34,$A$35:$H$35,0))*고양시_Modal_split!G$3 * 0.01</f>
        <v>0.44503162559543519</v>
      </c>
      <c r="R40" s="206">
        <f>INDEX($A$35:$H$42,MATCH($L40,$B$35:$B$42,0),MATCH($M$34,$A$35:$H$35,0))*고양시_Modal_split!H$3 * 0.01</f>
        <v>4.8373002782112528E-3</v>
      </c>
      <c r="S40" s="206">
        <f>INDEX($A$35:$H$42,MATCH($L40,$B$35:$B$42,0),MATCH($M$34,$A$35:$H$35,0))*고양시_Modal_split!I$3 * 0.01</f>
        <v>1.3447694773427281</v>
      </c>
      <c r="T40" s="206">
        <f>INDEX($A$35:$H$42,MATCH($L40,$B$35:$B$42,0),MATCH($M$34,$A$35:$H$35,0))*고양시_Modal_split!J$3 * 0.01</f>
        <v>14.724742046875054</v>
      </c>
      <c r="U40" s="206">
        <f>INDEX($A$35:$H$42,MATCH($L40,$B$35:$B$42,0),MATCH($M$34,$A$35:$H$35,0))*고양시_Modal_split!K$3 * 0.01</f>
        <v>7.2559504173168782E-2</v>
      </c>
      <c r="V40" s="206">
        <f>INDEX($A$35:$H$42,MATCH($L40,$B$35:$B$42,0),MATCH($M$34,$A$35:$H$35,0))*고양시_Modal_split!L$3 * 0.01</f>
        <v>1.4608646840197983</v>
      </c>
      <c r="W40" s="206">
        <f>INDEX($A$35:$H$42,MATCH($L40,$B$35:$B$42,0),MATCH($M$34,$A$35:$H$35,0))*고양시_Modal_split!M$3 * 0.01</f>
        <v>0.1112579063988588</v>
      </c>
      <c r="X40" s="206">
        <f>INDEX($A$35:$H$42,MATCH($L40,$B$35:$B$42,0),MATCH($M$34,$A$35:$H$35,0))*고양시_Modal_split!N$3 * 0.01</f>
        <v>4.8373002782112526E-2</v>
      </c>
      <c r="Y40" s="206">
        <f>INDEX($A$35:$H$42,MATCH($L40,$B$35:$B$42,0),MATCH($M$34,$A$35:$H$35,0))*고양시_Modal_split!O$3 * 0.01</f>
        <v>8.7071405007802541E-2</v>
      </c>
      <c r="Z40" s="209">
        <f>INDEX($A$35:$H$42,MATCH($L40,$B$35:$B$42,0),MATCH($M$34,$A$35:$H$35,0))*고양시_Modal_split!P$3 * 0.01</f>
        <v>48.373002782112529</v>
      </c>
      <c r="AA40" s="207">
        <f>INDEX($A$35:$H$42,MATCH($L40,$B$35:$B$42,0),MATCH($AA$34,$A$35:$H$35,0))*고양시_Modal_split!C$3 * 0.01</f>
        <v>1.0532337770421598</v>
      </c>
      <c r="AB40" s="207">
        <f>INDEX($A$35:$H$42,MATCH($L40,$B$35:$B$42,0),MATCH($AA$34,$A$35:$H$35,0))*고양시_Modal_split!D$3 * 0.01</f>
        <v>176.90565905104566</v>
      </c>
      <c r="AC40" s="207">
        <f>INDEX($A$35:$H$42,MATCH($L40,$B$35:$B$42,0),MATCH($AA$34,$A$35:$H$35,0))*고양시_Modal_split!E$3 * 0.01</f>
        <v>21.403214969178176</v>
      </c>
      <c r="AD40" s="207">
        <f>INDEX($A$35:$H$42,MATCH($L40,$B$35:$B$42,0),MATCH($AA$34,$A$35:$H$35,0))*고양시_Modal_split!F$3 * 0.01</f>
        <v>34.493406198130735</v>
      </c>
      <c r="AE40" s="207">
        <f>INDEX($A$35:$H$42,MATCH($L40,$B$35:$B$42,0),MATCH($AA$34,$A$35:$H$35,0))*고양시_Modal_split!G$3 * 0.01</f>
        <v>3.4606252674242395</v>
      </c>
      <c r="AF40" s="207">
        <f>INDEX($A$35:$H$42,MATCH($L40,$B$35:$B$42,0),MATCH($AA$34,$A$35:$H$35,0))*고양시_Modal_split!H$3 * 0.01</f>
        <v>3.7615492037219998E-2</v>
      </c>
      <c r="AG40" s="207">
        <f>INDEX($A$35:$H$42,MATCH($L40,$B$35:$B$42,0),MATCH($AA$34,$A$35:$H$35,0))*고양시_Modal_split!I$3 * 0.01</f>
        <v>10.457106786347158</v>
      </c>
      <c r="AH40" s="207">
        <f>INDEX($A$35:$H$42,MATCH($L40,$B$35:$B$42,0),MATCH($AA$34,$A$35:$H$35,0))*고양시_Modal_split!J$3 * 0.01</f>
        <v>114.50155776129769</v>
      </c>
      <c r="AI40" s="207">
        <f>INDEX($A$35:$H$42,MATCH($L40,$B$35:$B$42,0),MATCH($AA$34,$A$35:$H$35,0))*고양시_Modal_split!K$3 * 0.01</f>
        <v>0.56423238055829994</v>
      </c>
      <c r="AJ40" s="207">
        <f>INDEX($A$35:$H$42,MATCH($L40,$B$35:$B$42,0),MATCH($AA$34,$A$35:$H$35,0))*고양시_Modal_split!L$3 * 0.01</f>
        <v>11.359878595240438</v>
      </c>
      <c r="AK40" s="207">
        <f>INDEX($A$35:$H$42,MATCH($L40,$B$35:$B$42,0),MATCH($AA$34,$A$35:$H$35,0))*고양시_Modal_split!M$3 * 0.01</f>
        <v>0.86515631685605987</v>
      </c>
      <c r="AL40" s="207">
        <f>INDEX($A$35:$H$42,MATCH($L40,$B$35:$B$42,0),MATCH($AA$34,$A$35:$H$35,0))*고양시_Modal_split!N$3 * 0.01</f>
        <v>0.3761549203722</v>
      </c>
      <c r="AM40" s="207">
        <f>INDEX($A$35:$H$42,MATCH($L40,$B$35:$B$42,0),MATCH($AA$34,$A$35:$H$35,0))*고양시_Modal_split!O$3 * 0.01</f>
        <v>0.67707885666995993</v>
      </c>
      <c r="AN40" s="207">
        <f>INDEX($A$35:$H$42,MATCH($L40,$B$35:$B$42,0),MATCH($AA$34,$A$35:$H$35,0))*고양시_Modal_split!P$3 * 0.01</f>
        <v>376.15492037220002</v>
      </c>
      <c r="AO40" s="303">
        <f>INDEX($A$35:$H$42,MATCH($L40,$B$35:$B$42,0),MATCH($AO$34,$A$35:$H$35,0))*고양시_Modal_split!C$3 * 0.01</f>
        <v>4.6684959064525258E-2</v>
      </c>
      <c r="AP40" s="303">
        <f>INDEX($A$35:$H$42,MATCH($L40,$B$35:$B$42,0),MATCH($AO$34,$A$35:$H$35,0))*고양시_Modal_split!D$3 * 0.01</f>
        <v>7.8414058028736546</v>
      </c>
      <c r="AQ40" s="303">
        <f>INDEX($A$35:$H$42,MATCH($L40,$B$35:$B$42,0),MATCH($AO$34,$A$35:$H$35,0))*고양시_Modal_split!E$3 * 0.01</f>
        <v>0.948705060989817</v>
      </c>
      <c r="AR40" s="303">
        <f>INDEX($A$35:$H$42,MATCH($L40,$B$35:$B$42,0),MATCH($AO$34,$A$35:$H$35,0))*고양시_Modal_split!F$3 * 0.01</f>
        <v>1.5289324093632024</v>
      </c>
      <c r="AS40" s="303">
        <f>INDEX($A$35:$H$42,MATCH($L40,$B$35:$B$42,0),MATCH($AO$34,$A$35:$H$35,0))*고양시_Modal_split!G$3 * 0.01</f>
        <v>0.15339343692629728</v>
      </c>
      <c r="AT40" s="303">
        <f>INDEX($A$35:$H$42,MATCH($L40,$B$35:$B$42,0),MATCH($AO$34,$A$35:$H$35,0))*고양시_Modal_split!H$3 * 0.01</f>
        <v>1.6673199665901881E-3</v>
      </c>
      <c r="AU40" s="303">
        <f>INDEX($A$35:$H$42,MATCH($L40,$B$35:$B$42,0),MATCH($AO$34,$A$35:$H$35,0))*고양시_Modal_split!I$3 * 0.01</f>
        <v>0.46351495071207227</v>
      </c>
      <c r="AV40" s="303">
        <f>INDEX($A$35:$H$42,MATCH($L40,$B$35:$B$42,0),MATCH($AO$34,$A$35:$H$35,0))*고양시_Modal_split!J$3 * 0.01</f>
        <v>5.0753219783005328</v>
      </c>
      <c r="AW40" s="303">
        <f>INDEX($A$35:$H$42,MATCH($L40,$B$35:$B$42,0),MATCH($AO$34,$A$35:$H$35,0))*고양시_Modal_split!K$3 * 0.01</f>
        <v>2.5009799498852819E-2</v>
      </c>
      <c r="AX40" s="303">
        <f>INDEX($A$35:$H$42,MATCH($L40,$B$35:$B$42,0),MATCH($AO$34,$A$35:$H$35,0))*고양시_Modal_split!L$3 * 0.01</f>
        <v>0.50353062991023678</v>
      </c>
      <c r="AY40" s="303">
        <f>INDEX($A$35:$H$42,MATCH($L40,$B$35:$B$42,0),MATCH($AO$34,$A$35:$H$35,0))*고양시_Modal_split!M$3 * 0.01</f>
        <v>3.8348359231574321E-2</v>
      </c>
      <c r="AZ40" s="303">
        <f>INDEX($A$35:$H$42,MATCH($L40,$B$35:$B$42,0),MATCH($AO$34,$A$35:$H$35,0))*고양시_Modal_split!N$3 * 0.01</f>
        <v>1.6673199665901882E-2</v>
      </c>
      <c r="BA40" s="207">
        <f>INDEX($A$35:$H$42,MATCH($L40,$B$35:$B$42,0),MATCH($AO$34,$A$35:$H$35,0))*고양시_Modal_split!O$3 * 0.01</f>
        <v>3.0011759398623383E-2</v>
      </c>
      <c r="BB40" s="207">
        <f>INDEX($A$35:$H$42,MATCH($L40,$B$35:$B$42,0),MATCH($AO$34,$A$35:$H$35,0))*고양시_Modal_split!P$3 * 0.01</f>
        <v>16.67319966590188</v>
      </c>
      <c r="BC40" s="207">
        <f>INDEX($A$35:$H$42,MATCH($L40,$B$35:$B$42,0),MATCH($BC$34,$A$35:$H$35,0))*고양시_Modal_split!C$3 * 0.01</f>
        <v>1.2660327881905103E-4</v>
      </c>
      <c r="BD40" s="207">
        <f>INDEX($A$35:$H$42,MATCH($L40,$B$35:$B$42,0),MATCH($BC$34,$A$35:$H$35,0))*고양시_Modal_split!D$3 * 0.01</f>
        <v>2.1264829295928468E-2</v>
      </c>
      <c r="BE40" s="207">
        <f>INDEX($A$35:$H$42,MATCH($L40,$B$35:$B$42,0),MATCH($BC$34,$A$35:$H$35,0))*고양시_Modal_split!E$3 * 0.01</f>
        <v>2.5727594874300013E-3</v>
      </c>
      <c r="BF40" s="207">
        <f>INDEX($A$35:$H$42,MATCH($L40,$B$35:$B$42,0),MATCH($BC$34,$A$35:$H$35,0))*고양시_Modal_split!F$3 * 0.01</f>
        <v>4.1462573813239216E-3</v>
      </c>
      <c r="BG40" s="207">
        <f>INDEX($A$35:$H$42,MATCH($L40,$B$35:$B$42,0),MATCH($BC$34,$A$35:$H$35,0))*고양시_Modal_split!G$3 * 0.01</f>
        <v>4.1598220183402488E-4</v>
      </c>
      <c r="BH40" s="207">
        <f>INDEX($A$35:$H$42,MATCH($L40,$B$35:$B$42,0),MATCH($BC$34,$A$35:$H$35,0))*고양시_Modal_split!H$3 * 0.01</f>
        <v>4.521545672108966E-6</v>
      </c>
      <c r="BI40" s="207">
        <f>INDEX($A$35:$H$42,MATCH($L40,$B$35:$B$42,0),MATCH($BC$34,$A$35:$H$35,0))*고양시_Modal_split!I$3 * 0.01</f>
        <v>1.2569896968462923E-3</v>
      </c>
      <c r="BJ40" s="207">
        <f>INDEX($A$35:$H$42,MATCH($L40,$B$35:$B$42,0),MATCH($BC$34,$A$35:$H$35,0))*고양시_Modal_split!J$3 * 0.01</f>
        <v>1.3763585025899694E-2</v>
      </c>
      <c r="BK40" s="207">
        <f>INDEX($A$35:$H$42,MATCH($L40,$B$35:$B$42,0),MATCH($BC$34,$A$35:$H$35,0))*고양시_Modal_split!K$3 * 0.01</f>
        <v>6.7823185081634485E-5</v>
      </c>
      <c r="BL40" s="207">
        <f>INDEX($A$35:$H$42,MATCH($L40,$B$35:$B$42,0),MATCH($BC$34,$A$35:$H$35,0))*고양시_Modal_split!L$3 * 0.01</f>
        <v>1.3655067929769077E-3</v>
      </c>
      <c r="BM40" s="207">
        <f>INDEX($A$35:$H$42,MATCH($L40,$B$35:$B$42,0),MATCH($BC$34,$A$35:$H$35,0))*고양시_Modal_split!M$3 * 0.01</f>
        <v>1.0399555045850622E-4</v>
      </c>
      <c r="BN40" s="207">
        <f>INDEX($A$35:$H$42,MATCH($L40,$B$35:$B$42,0),MATCH($BC$34,$A$35:$H$35,0))*고양시_Modal_split!N$3 * 0.01</f>
        <v>4.5215456721089665E-5</v>
      </c>
      <c r="BO40" s="207">
        <f>INDEX($A$35:$H$42,MATCH($L40,$B$35:$B$42,0),MATCH($BC$34,$A$35:$H$35,0))*고양시_Modal_split!O$3 * 0.01</f>
        <v>8.13878220979614E-5</v>
      </c>
      <c r="BP40" s="207">
        <f>INDEX($A$35:$H$42,MATCH($L40,$B$35:$B$42,0),MATCH($BC$34,$A$35:$H$35,0))*고양시_Modal_split!P$3 * 0.01</f>
        <v>4.5215456721089668E-2</v>
      </c>
      <c r="BQ40" s="207">
        <f>INDEX($A$35:$H$42,MATCH($L40,$B$35:$B$42,0),MATCH($BQ$34,$A$35:$H$35,0))*고양시_Modal_split!C$3 * 0.01</f>
        <v>3.5870928998731245E-4</v>
      </c>
      <c r="BR40" s="207">
        <f>INDEX($A$35:$H$42,MATCH($L40,$B$35:$B$42,0),MATCH($BQ$34,$A$35:$H$35,0))*고양시_Modal_split!D$3 * 0.01</f>
        <v>6.0250349671797522E-2</v>
      </c>
      <c r="BS40" s="207">
        <f>INDEX($A$35:$H$42,MATCH($L40,$B$35:$B$42,0),MATCH($BQ$34,$A$35:$H$35,0))*고양시_Modal_split!E$3 * 0.01</f>
        <v>7.2894852143850289E-3</v>
      </c>
      <c r="BT40" s="207">
        <f>INDEX($A$35:$H$42,MATCH($L40,$B$35:$B$42,0),MATCH($BQ$34,$A$35:$H$35,0))*고양시_Modal_split!F$3 * 0.01</f>
        <v>1.1747729247084485E-2</v>
      </c>
      <c r="BU40" s="207">
        <f>INDEX($A$35:$H$42,MATCH($L40,$B$35:$B$42,0),MATCH($BQ$34,$A$35:$H$35,0))*고양시_Modal_split!G$3 * 0.01</f>
        <v>1.178616238529741E-3</v>
      </c>
      <c r="BV40" s="207">
        <f>INDEX($A$35:$H$42,MATCH($L40,$B$35:$B$42,0),MATCH($BQ$34,$A$35:$H$35,0))*고양시_Modal_split!H$3 * 0.01</f>
        <v>1.2811046070975448E-5</v>
      </c>
      <c r="BW40" s="207">
        <f>INDEX($A$35:$H$42,MATCH($L40,$B$35:$B$42,0),MATCH($BQ$34,$A$35:$H$35,0))*고양시_Modal_split!I$3 * 0.01</f>
        <v>3.5614708077311738E-3</v>
      </c>
      <c r="BX40" s="207">
        <f>INDEX($A$35:$H$42,MATCH($L40,$B$35:$B$42,0),MATCH($BQ$34,$A$35:$H$35,0))*고양시_Modal_split!J$3 * 0.01</f>
        <v>3.8996824240049258E-2</v>
      </c>
      <c r="BY40" s="207">
        <f>INDEX($A$35:$H$42,MATCH($L40,$B$35:$B$42,0),MATCH($BQ$34,$A$35:$H$35,0))*고양시_Modal_split!K$3 * 0.01</f>
        <v>1.9216569106463168E-4</v>
      </c>
      <c r="BZ40" s="207">
        <f>INDEX($A$35:$H$42,MATCH($L40,$B$35:$B$42,0),MATCH($BQ$34,$A$35:$H$35,0))*고양시_Modal_split!L$3 * 0.01</f>
        <v>3.8689359134345849E-3</v>
      </c>
      <c r="CA40" s="207">
        <f>INDEX($A$35:$H$42,MATCH($L40,$B$35:$B$42,0),MATCH($BQ$34,$A$35:$H$35,0))*고양시_Modal_split!M$3 * 0.01</f>
        <v>2.9465405963243526E-4</v>
      </c>
      <c r="CB40" s="207">
        <f>INDEX($A$35:$H$42,MATCH($L40,$B$35:$B$42,0),MATCH($BQ$34,$A$35:$H$35,0))*고양시_Modal_split!N$3 * 0.01</f>
        <v>1.2811046070975446E-4</v>
      </c>
      <c r="CC40" s="207">
        <f>INDEX($A$35:$H$42,MATCH($L40,$B$35:$B$42,0),MATCH($BQ$34,$A$35:$H$35,0))*고양시_Modal_split!O$3 * 0.01</f>
        <v>2.3059882927755804E-4</v>
      </c>
      <c r="CD40" s="207">
        <f>INDEX($A$35:$H$42,MATCH($L40,$B$35:$B$42,0),MATCH($BQ$34,$A$35:$H$35,0))*고양시_Modal_split!P$3 * 0.01</f>
        <v>0.12811046070975446</v>
      </c>
      <c r="CE40" s="304">
        <f t="shared" si="10"/>
        <v>1.2358484564654064</v>
      </c>
      <c r="CF40" s="304">
        <f t="shared" si="5"/>
        <v>207.57840324131456</v>
      </c>
      <c r="CG40" s="304">
        <f t="shared" si="5"/>
        <v>25.114206133172008</v>
      </c>
      <c r="CH40" s="304">
        <f t="shared" si="5"/>
        <v>40.474036949242063</v>
      </c>
      <c r="CI40" s="304">
        <f t="shared" si="5"/>
        <v>4.0606449283863357</v>
      </c>
      <c r="CJ40" s="304">
        <f t="shared" si="5"/>
        <v>4.4137444873764531E-2</v>
      </c>
      <c r="CK40" s="304">
        <f t="shared" si="5"/>
        <v>12.270209674906537</v>
      </c>
      <c r="CL40" s="304">
        <f t="shared" si="5"/>
        <v>134.35438219573925</v>
      </c>
      <c r="CM40" s="304">
        <f t="shared" si="5"/>
        <v>0.6620616731064678</v>
      </c>
      <c r="CN40" s="304">
        <f t="shared" si="5"/>
        <v>13.329508351876886</v>
      </c>
      <c r="CO40" s="304">
        <f t="shared" si="5"/>
        <v>1.0151612320965839</v>
      </c>
      <c r="CP40" s="304">
        <f t="shared" si="5"/>
        <v>0.44137444873764525</v>
      </c>
      <c r="CQ40" s="304">
        <f t="shared" si="5"/>
        <v>0.79447400772776133</v>
      </c>
      <c r="CR40" s="304">
        <f t="shared" si="5"/>
        <v>441.37444873764531</v>
      </c>
      <c r="CS40" s="305">
        <f t="shared" si="11"/>
        <v>0</v>
      </c>
      <c r="CV40" s="265"/>
      <c r="CW40" s="265" t="s">
        <v>716</v>
      </c>
      <c r="CX40" s="267">
        <f>INDEX($M$34:$Z$42,MATCH($CW40,$L$34:$L$42,0),MATCH(CX$35,$M$35:$Z$35,0))/INDEX(고양시_재차인원!$D$4:$H$35,MATCH("고양시",고양시_재차인원!$B$4:$B$35,0),MATCH($CX$34,고양시_재차인원!$D$4:$H$4,0))</f>
        <v>20.312342150381713</v>
      </c>
      <c r="CY40" s="267">
        <f>INDEX($M$34:$Z$42,MATCH($CW40,$L$34:$L$42,0),MATCH(CY$35,$M$35:$Z$35,0))/INDEX(고양시_재차인원!$K$4:$O$20,MATCH("경기도",고양시_재차인원!$K$4:$K$20,0),MATCH(CY$35,고양시_재차인원!$K$4:$O$4,0))</f>
        <v>1.6802015554745581E-4</v>
      </c>
      <c r="CZ40" s="267">
        <f>INDEX($M$34:$Z$42,MATCH($CW40,$L$34:$L$42,0),MATCH(CZ$35,$M$35:$Z$35,0))/INDEX(고양시_재차인원!$K$4:$O$20,MATCH("경기도",고양시_재차인원!$K$4:$K$20,0),MATCH(CZ$35,고양시_재차인원!$K$4:$O$4,0))</f>
        <v>4.6709603242192713E-2</v>
      </c>
      <c r="DA40" s="267">
        <f>INDEX($M$34:$Z$42,MATCH($CW40,$L$34:$L$42,0),MATCH(DA$35,$M$35:$Z$35,0))/INDEX(고양시_재차인원!$D$4:$H$35,MATCH("고양시",고양시_재차인원!$B$4:$B$35,0),MATCH($CX$34,고양시_재차인원!$D$4:$H$4,0))</f>
        <v>1.3043434678748198</v>
      </c>
      <c r="DB40" s="267">
        <f>INDEX($AA$34:$AN$42,MATCH($CW40,$L$34:$L$42,0),MATCH(DB$35,$AA$35:$AN$35,0))/INDEX(고양시_재차인원!$D$4:$H$35,MATCH("고양시",고양시_재차인원!$B$4:$B$35,0),MATCH($DB$34,고양시_재차인원!$D$4:$H$4,0))</f>
        <v>125.46500641918132</v>
      </c>
      <c r="DC40" s="267">
        <f>INDEX($AA$34:$AN$42,MATCH($CW40,$L$34:$L$42,0),MATCH(DC$35,$AA$35:$AN$35,0))/INDEX(고양시_재차인원!$K$4:$O$20,MATCH("경기도",고양시_재차인원!$K$4:$K$20,0),MATCH(DC$35,고양시_재차인원!$K$4:$O$4,0))</f>
        <v>1.3065471357144843E-3</v>
      </c>
      <c r="DD40" s="267">
        <f>INDEX($AA$34:$AN$42,MATCH($CW40,$L$34:$L$42,0),MATCH(DD$35,$AA$35:$AN$35,0))/INDEX(고양시_재차인원!$K$4:$O$20,MATCH("경기도",고양시_재차인원!$K$4:$K$20,0),MATCH(DD$35,고양시_재차인원!$K$4:$O$4,0))</f>
        <v>0.36322010372862651</v>
      </c>
      <c r="DE40" s="267">
        <f>INDEX($AA$34:$AN$42,MATCH($CW40,$L$34:$L$42,0),MATCH(DE$35,$AA$35:$AN$35,0))/INDEX(고양시_재차인원!$D$4:$H$35,MATCH("고양시",고양시_재차인원!$B$4:$B$35,0),MATCH($DB$34,고양시_재차인원!$D$4:$H$4,0))</f>
        <v>8.0566514859861265</v>
      </c>
      <c r="DF40" s="267">
        <f>INDEX($AO$34:$BB$42,MATCH($CW40,$L$34:$L$42,0),MATCH(DF$35,$AO$35:$BB$35,0))/INDEX(고양시_재차인원!$D$4:$H$35,MATCH("고양시",고양시_재차인원!$B$4:$B$35,0),MATCH($DF$34,고양시_재차인원!$D$4:$H$4,0))</f>
        <v>6.0318506175951185</v>
      </c>
      <c r="DG40" s="267">
        <f>INDEX($AO$34:$BB$42,MATCH($CW40,$L$34:$L$42,0),MATCH(DG$35,$AO$35:$BB$35,0))/INDEX(고양시_재차인원!$K$4:$O$20,MATCH("경기도",고양시_재차인원!$K$4:$K$20,0),MATCH(DG$35,고양시_재차인원!$K$4:$O$4,0))</f>
        <v>5.7913163132691498E-5</v>
      </c>
      <c r="DH40" s="267">
        <f>INDEX($AO$34:$BB$42,MATCH($CW40,$L$34:$L$42,0),MATCH(DH$35,$AO$35:$BB$35,0))/INDEX(고양시_재차인원!$K$4:$O$20,MATCH("경기도",고양시_재차인원!$K$4:$K$20,0),MATCH(DH$35,고양시_재차인원!$K$4:$O$4,0))</f>
        <v>1.6099859350888236E-2</v>
      </c>
      <c r="DI40" s="267">
        <f>INDEX($AO$34:$BB$42,MATCH($CW40,$L$34:$L$42,0),MATCH(DI$35,$AO$35:$BB$35,0))/INDEX(고양시_재차인원!$D$4:$H$35,MATCH("고양시",고양시_재차인원!$B$4:$B$35,0),MATCH($DF$34,고양시_재차인원!$D$4:$H$4,0))</f>
        <v>0.3873312537771052</v>
      </c>
      <c r="DJ40" s="267">
        <f>INDEX($BC$34:$BP$42,MATCH($CW40,$L$34:$L$42,0),MATCH(DJ$35,$BC$35:$BP$35,0))/INDEX(고양시_재차인원!$D$4:$H$35,MATCH("고양시",고양시_재차인원!$B$4:$B$35,0),MATCH($DJ$34,고양시_재차인원!$D$4:$H$4,0))</f>
        <v>1.5635903894065051E-2</v>
      </c>
      <c r="DK40" s="267">
        <f>INDEX($BC$34:$BP$42,MATCH($CW40,$L$34:$L$42,0),MATCH(DK$35,$BC$35:$BP$35,0))/INDEX(고양시_재차인원!$K$4:$O$20,MATCH("경기도",고양시_재차인원!$K$4:$K$20,0),MATCH(DK$35,고양시_재차인원!$K$4:$O$4,0))</f>
        <v>1.5705264578356951E-7</v>
      </c>
      <c r="DL40" s="267">
        <f>INDEX($BC$34:$BP$42,MATCH($CW40,$L$34:$L$42,0),MATCH(DL$35,$BC$35:$BP$35,0))/INDEX(고양시_재차인원!$K$4:$O$20,MATCH("경기도",고양시_재차인원!$K$4:$K$20,0),MATCH(DL$35,고양시_재차인원!$K$4:$O$4,0))</f>
        <v>4.3660635527832317E-5</v>
      </c>
      <c r="DM40" s="267">
        <f>INDEX($BC$34:$BP$42,MATCH($CW40,$L$34:$L$42,0),MATCH(DM$35,$BC$35:$BP$35,0))/INDEX(고양시_재차인원!$D$4:$H$35,MATCH("고양시",고양시_재차인원!$B$4:$B$35,0),MATCH($DJ$34,고양시_재차인원!$D$4:$H$4,0))</f>
        <v>1.0040491124830202E-3</v>
      </c>
      <c r="DN40" s="267">
        <f>INDEX($BQ$34:$CD$42,MATCH($CW40,$L$34:$L$42,0),MATCH(DN$35,$BQ$35:$CD$35,0))/INDEX(고양시_재차인원!$D$4:$H$35,MATCH("고양시",고양시_재차인원!$B$4:$B$35,0),MATCH($DN$34,고양시_재차인원!$D$4:$H$4,0))</f>
        <v>4.7817737834759941E-2</v>
      </c>
      <c r="DO40" s="267">
        <f>INDEX($BQ$34:$CD$42,MATCH($CW40,$L$34:$L$42,0),MATCH(DO$35,$BQ$35:$CD$35,0))/INDEX(고양시_재차인원!$K$4:$O$20,MATCH("경기도",고양시_재차인원!$K$4:$K$20,0),MATCH(DO$35,고양시_재차인원!$K$4:$O$4,0))</f>
        <v>4.4498249638678183E-7</v>
      </c>
      <c r="DP40" s="267">
        <f>INDEX($BQ$34:$CD$42,MATCH($CW40,$L$34:$L$42,0),MATCH(DP$35,$BQ$35:$CD$35,0))/INDEX(고양시_재차인원!$K$4:$O$20,MATCH("경기도",고양시_재차인원!$K$4:$K$20,0),MATCH(DP$35,고양시_재차인원!$K$4:$O$4,0))</f>
        <v>1.2370513399552531E-4</v>
      </c>
      <c r="DQ40" s="267">
        <f>INDEX($BQ$34:$CD$42,MATCH($CW40,$L$34:$L$42,0),MATCH(DQ$35,$BQ$35:$CD$35,0))/INDEX(고양시_재차인원!$D$4:$H$35,MATCH("고양시",고양시_재차인원!$B$4:$B$35,0),MATCH($DN$34,고양시_재차인원!$D$4:$H$4,0))</f>
        <v>3.0705840582814165E-3</v>
      </c>
      <c r="DR40" s="270">
        <f t="shared" si="12"/>
        <v>151.87265282888697</v>
      </c>
      <c r="DS40" s="270">
        <f t="shared" si="6"/>
        <v>1.533082489536802E-3</v>
      </c>
      <c r="DT40" s="270">
        <f t="shared" si="6"/>
        <v>0.42619693209123083</v>
      </c>
      <c r="DU40" s="270">
        <f t="shared" si="6"/>
        <v>9.7524008408088161</v>
      </c>
      <c r="DW40" s="278"/>
      <c r="DX40" s="278" t="s">
        <v>716</v>
      </c>
      <c r="DY40" s="281">
        <f t="shared" si="13"/>
        <v>161.62505366969577</v>
      </c>
      <c r="DZ40" s="281">
        <f t="shared" si="14"/>
        <v>0.42773001458076765</v>
      </c>
      <c r="EB40" s="278"/>
      <c r="EC40" s="278" t="s">
        <v>673</v>
      </c>
      <c r="ED40" s="281">
        <f t="shared" si="15"/>
        <v>161.62505366969577</v>
      </c>
      <c r="EE40" s="281">
        <f t="shared" si="7"/>
        <v>0.42773001458076765</v>
      </c>
    </row>
    <row r="41" spans="1:157" ht="37.5">
      <c r="A41" s="205" t="s">
        <v>702</v>
      </c>
      <c r="B41" s="205" t="s">
        <v>721</v>
      </c>
      <c r="C41" s="400">
        <f>$D13*KTDB_TripDistribution_2035!L$12 * (1+KTDB_발생량도착량_증가율!$C$8) * (1+KTDB_발생량도착량_증가율!$D$7*5) * (1+KTDB_발생량도착량_증가율!$E$7*5)</f>
        <v>5.6117172601058609</v>
      </c>
      <c r="D41" s="400">
        <f>$D13*KTDB_TripDistribution_2035!M$12 * (1+KTDB_발생량도착량_증가율!$C$8) * (1+KTDB_발생량도착량_증가율!$D$7*5) * (1+KTDB_발생량도착량_증가율!$E$7*5)</f>
        <v>43.637461760116004</v>
      </c>
      <c r="E41" s="400">
        <f>$D13*KTDB_TripDistribution_2035!N$12 * (1+KTDB_발생량도착량_증가율!$C$8) * (1+KTDB_발생량도착량_증가율!$D$7*5) * (1+KTDB_발생량도착량_증가율!$E$7*5)</f>
        <v>1.934245900916691</v>
      </c>
      <c r="F41" s="400">
        <f>$D13*KTDB_TripDistribution_2035!O$12 * (1+KTDB_발생량도착량_증가율!$C$8) * (1+KTDB_발생량도착량_증가율!$D$7*5) * (1+KTDB_발생량도착량_증가율!$E$7*5)</f>
        <v>5.2454126126554139E-3</v>
      </c>
      <c r="G41" s="400">
        <f>$D13*KTDB_TripDistribution_2035!P$12 * (1+KTDB_발생량도착량_증가율!$C$8) * (1+KTDB_발생량도착량_증가율!$D$7*5) * (1+KTDB_발생량도착량_증가율!$E$7*5)</f>
        <v>1.4862002402523717E-2</v>
      </c>
      <c r="H41" s="400">
        <f>$D13*KTDB_TripDistribution_2035!Q$12 * (1+KTDB_발생량도착량_증가율!$C$8) * (1+KTDB_발생량도착량_증가율!$D$7*5) * (1+KTDB_발생량도착량_증가율!$E$7*5)</f>
        <v>51.203532336153735</v>
      </c>
      <c r="K41" s="206"/>
      <c r="L41" s="206" t="s">
        <v>720</v>
      </c>
      <c r="M41" s="206">
        <f>INDEX($A$35:$H$42,MATCH($L41,$B$35:$B$42,0),MATCH($M$34,$A$35:$H$35,0))*고양시_Modal_split!C$3 * 0.01</f>
        <v>1.5712808328296409E-2</v>
      </c>
      <c r="N41" s="206">
        <f>INDEX($A$35:$H$42,MATCH($L41,$B$35:$B$42,0),MATCH($M$34,$A$35:$H$35,0))*고양시_Modal_split!D$3 * 0.01</f>
        <v>2.6391906274277863</v>
      </c>
      <c r="O41" s="206">
        <f>INDEX($A$35:$H$42,MATCH($L41,$B$35:$B$42,0),MATCH($M$34,$A$35:$H$35,0))*고양시_Modal_split!E$3 * 0.01</f>
        <v>0.31930671210002343</v>
      </c>
      <c r="P41" s="206">
        <f>INDEX($A$35:$H$42,MATCH($L41,$B$35:$B$42,0),MATCH($M$34,$A$35:$H$35,0))*고양시_Modal_split!F$3 * 0.01</f>
        <v>0.51459447275170744</v>
      </c>
      <c r="Q41" s="206">
        <f>INDEX($A$35:$H$42,MATCH($L41,$B$35:$B$42,0),MATCH($M$34,$A$35:$H$35,0))*고양시_Modal_split!G$3 * 0.01</f>
        <v>5.1627798792973918E-2</v>
      </c>
      <c r="R41" s="206">
        <f>INDEX($A$35:$H$42,MATCH($L41,$B$35:$B$42,0),MATCH($M$34,$A$35:$H$35,0))*고양시_Modal_split!H$3 * 0.01</f>
        <v>5.6117172601058613E-4</v>
      </c>
      <c r="S41" s="206">
        <f>INDEX($A$35:$H$42,MATCH($L41,$B$35:$B$42,0),MATCH($M$34,$A$35:$H$35,0))*고양시_Modal_split!I$3 * 0.01</f>
        <v>0.15600573983094293</v>
      </c>
      <c r="T41" s="206">
        <f>INDEX($A$35:$H$42,MATCH($L41,$B$35:$B$42,0),MATCH($M$34,$A$35:$H$35,0))*고양시_Modal_split!J$3 * 0.01</f>
        <v>1.7082067339762241</v>
      </c>
      <c r="U41" s="206">
        <f>INDEX($A$35:$H$42,MATCH($L41,$B$35:$B$42,0),MATCH($M$34,$A$35:$H$35,0))*고양시_Modal_split!K$3 * 0.01</f>
        <v>8.4175758901587922E-3</v>
      </c>
      <c r="V41" s="206">
        <f>INDEX($A$35:$H$42,MATCH($L41,$B$35:$B$42,0),MATCH($M$34,$A$35:$H$35,0))*고양시_Modal_split!L$3 * 0.01</f>
        <v>0.16947386125519701</v>
      </c>
      <c r="W41" s="206">
        <f>INDEX($A$35:$H$42,MATCH($L41,$B$35:$B$42,0),MATCH($M$34,$A$35:$H$35,0))*고양시_Modal_split!M$3 * 0.01</f>
        <v>1.290694969824348E-2</v>
      </c>
      <c r="X41" s="206">
        <f>INDEX($A$35:$H$42,MATCH($L41,$B$35:$B$42,0),MATCH($M$34,$A$35:$H$35,0))*고양시_Modal_split!N$3 * 0.01</f>
        <v>5.6117172601058609E-3</v>
      </c>
      <c r="Y41" s="206">
        <f>INDEX($A$35:$H$42,MATCH($L41,$B$35:$B$42,0),MATCH($M$34,$A$35:$H$35,0))*고양시_Modal_split!O$3 * 0.01</f>
        <v>1.0101091068190548E-2</v>
      </c>
      <c r="Z41" s="209">
        <f>INDEX($A$35:$H$42,MATCH($L41,$B$35:$B$42,0),MATCH($M$34,$A$35:$H$35,0))*고양시_Modal_split!P$3 * 0.01</f>
        <v>5.6117172601058609</v>
      </c>
      <c r="AA41" s="207">
        <f>INDEX($A$35:$H$42,MATCH($L41,$B$35:$B$42,0),MATCH($AA$34,$A$35:$H$35,0))*고양시_Modal_split!C$3 * 0.01</f>
        <v>0.12218489292832481</v>
      </c>
      <c r="AB41" s="207">
        <f>INDEX($A$35:$H$42,MATCH($L41,$B$35:$B$42,0),MATCH($AA$34,$A$35:$H$35,0))*고양시_Modal_split!D$3 * 0.01</f>
        <v>20.522698265782555</v>
      </c>
      <c r="AC41" s="207">
        <f>INDEX($A$35:$H$42,MATCH($L41,$B$35:$B$42,0),MATCH($AA$34,$A$35:$H$35,0))*고양시_Modal_split!E$3 * 0.01</f>
        <v>2.4829715741506004</v>
      </c>
      <c r="AD41" s="207">
        <f>INDEX($A$35:$H$42,MATCH($L41,$B$35:$B$42,0),MATCH($AA$34,$A$35:$H$35,0))*고양시_Modal_split!F$3 * 0.01</f>
        <v>4.0015552434026374</v>
      </c>
      <c r="AE41" s="207">
        <f>INDEX($A$35:$H$42,MATCH($L41,$B$35:$B$42,0),MATCH($AA$34,$A$35:$H$35,0))*고양시_Modal_split!G$3 * 0.01</f>
        <v>0.40146464819306721</v>
      </c>
      <c r="AF41" s="207">
        <f>INDEX($A$35:$H$42,MATCH($L41,$B$35:$B$42,0),MATCH($AA$34,$A$35:$H$35,0))*고양시_Modal_split!H$3 * 0.01</f>
        <v>4.3637461760116002E-3</v>
      </c>
      <c r="AG41" s="207">
        <f>INDEX($A$35:$H$42,MATCH($L41,$B$35:$B$42,0),MATCH($AA$34,$A$35:$H$35,0))*고양시_Modal_split!I$3 * 0.01</f>
        <v>1.2131214369312249</v>
      </c>
      <c r="AH41" s="207">
        <f>INDEX($A$35:$H$42,MATCH($L41,$B$35:$B$42,0),MATCH($AA$34,$A$35:$H$35,0))*고양시_Modal_split!J$3 * 0.01</f>
        <v>13.283243359779313</v>
      </c>
      <c r="AI41" s="207">
        <f>INDEX($A$35:$H$42,MATCH($L41,$B$35:$B$42,0),MATCH($AA$34,$A$35:$H$35,0))*고양시_Modal_split!K$3 * 0.01</f>
        <v>6.5456192640174007E-2</v>
      </c>
      <c r="AJ41" s="207">
        <f>INDEX($A$35:$H$42,MATCH($L41,$B$35:$B$42,0),MATCH($AA$34,$A$35:$H$35,0))*고양시_Modal_split!L$3 * 0.01</f>
        <v>1.3178513451555034</v>
      </c>
      <c r="AK41" s="207">
        <f>INDEX($A$35:$H$42,MATCH($L41,$B$35:$B$42,0),MATCH($AA$34,$A$35:$H$35,0))*고양시_Modal_split!M$3 * 0.01</f>
        <v>0.1003661620482668</v>
      </c>
      <c r="AL41" s="207">
        <f>INDEX($A$35:$H$42,MATCH($L41,$B$35:$B$42,0),MATCH($AA$34,$A$35:$H$35,0))*고양시_Modal_split!N$3 * 0.01</f>
        <v>4.3637461760116007E-2</v>
      </c>
      <c r="AM41" s="207">
        <f>INDEX($A$35:$H$42,MATCH($L41,$B$35:$B$42,0),MATCH($AA$34,$A$35:$H$35,0))*고양시_Modal_split!O$3 * 0.01</f>
        <v>7.8547431168208809E-2</v>
      </c>
      <c r="AN41" s="207">
        <f>INDEX($A$35:$H$42,MATCH($L41,$B$35:$B$42,0),MATCH($AA$34,$A$35:$H$35,0))*고양시_Modal_split!P$3 * 0.01</f>
        <v>43.637461760116004</v>
      </c>
      <c r="AO41" s="303">
        <f>INDEX($A$35:$H$42,MATCH($L41,$B$35:$B$42,0),MATCH($AO$34,$A$35:$H$35,0))*고양시_Modal_split!C$3 * 0.01</f>
        <v>5.4158885225667345E-3</v>
      </c>
      <c r="AP41" s="303">
        <f>INDEX($A$35:$H$42,MATCH($L41,$B$35:$B$42,0),MATCH($AO$34,$A$35:$H$35,0))*고양시_Modal_split!D$3 * 0.01</f>
        <v>0.90967584720111994</v>
      </c>
      <c r="AQ41" s="303">
        <f>INDEX($A$35:$H$42,MATCH($L41,$B$35:$B$42,0),MATCH($AO$34,$A$35:$H$35,0))*고양시_Modal_split!E$3 * 0.01</f>
        <v>0.11005859176215971</v>
      </c>
      <c r="AR41" s="303">
        <f>INDEX($A$35:$H$42,MATCH($L41,$B$35:$B$42,0),MATCH($AO$34,$A$35:$H$35,0))*고양시_Modal_split!F$3 * 0.01</f>
        <v>0.17737034911406055</v>
      </c>
      <c r="AS41" s="303">
        <f>INDEX($A$35:$H$42,MATCH($L41,$B$35:$B$42,0),MATCH($AO$34,$A$35:$H$35,0))*고양시_Modal_split!G$3 * 0.01</f>
        <v>1.7795062288433555E-2</v>
      </c>
      <c r="AT41" s="303">
        <f>INDEX($A$35:$H$42,MATCH($L41,$B$35:$B$42,0),MATCH($AO$34,$A$35:$H$35,0))*고양시_Modal_split!H$3 * 0.01</f>
        <v>1.9342459009166909E-4</v>
      </c>
      <c r="AU41" s="303">
        <f>INDEX($A$35:$H$42,MATCH($L41,$B$35:$B$42,0),MATCH($AO$34,$A$35:$H$35,0))*고양시_Modal_split!I$3 * 0.01</f>
        <v>5.3772036045484008E-2</v>
      </c>
      <c r="AV41" s="303">
        <f>INDEX($A$35:$H$42,MATCH($L41,$B$35:$B$42,0),MATCH($AO$34,$A$35:$H$35,0))*고양시_Modal_split!J$3 * 0.01</f>
        <v>0.58878445223904086</v>
      </c>
      <c r="AW41" s="303">
        <f>INDEX($A$35:$H$42,MATCH($L41,$B$35:$B$42,0),MATCH($AO$34,$A$35:$H$35,0))*고양시_Modal_split!K$3 * 0.01</f>
        <v>2.9013688513750365E-3</v>
      </c>
      <c r="AX41" s="303">
        <f>INDEX($A$35:$H$42,MATCH($L41,$B$35:$B$42,0),MATCH($AO$34,$A$35:$H$35,0))*고양시_Modal_split!L$3 * 0.01</f>
        <v>5.8414226207684071E-2</v>
      </c>
      <c r="AY41" s="303">
        <f>INDEX($A$35:$H$42,MATCH($L41,$B$35:$B$42,0),MATCH($AO$34,$A$35:$H$35,0))*고양시_Modal_split!M$3 * 0.01</f>
        <v>4.4487655721083888E-3</v>
      </c>
      <c r="AZ41" s="303">
        <f>INDEX($A$35:$H$42,MATCH($L41,$B$35:$B$42,0),MATCH($AO$34,$A$35:$H$35,0))*고양시_Modal_split!N$3 * 0.01</f>
        <v>1.9342459009166913E-3</v>
      </c>
      <c r="BA41" s="207">
        <f>INDEX($A$35:$H$42,MATCH($L41,$B$35:$B$42,0),MATCH($AO$34,$A$35:$H$35,0))*고양시_Modal_split!O$3 * 0.01</f>
        <v>3.4816426216500436E-3</v>
      </c>
      <c r="BB41" s="207">
        <f>INDEX($A$35:$H$42,MATCH($L41,$B$35:$B$42,0),MATCH($AO$34,$A$35:$H$35,0))*고양시_Modal_split!P$3 * 0.01</f>
        <v>1.934245900916691</v>
      </c>
      <c r="BC41" s="207">
        <f>INDEX($A$35:$H$42,MATCH($L41,$B$35:$B$42,0),MATCH($BC$34,$A$35:$H$35,0))*고양시_Modal_split!C$3 * 0.01</f>
        <v>1.4687155315435158E-5</v>
      </c>
      <c r="BD41" s="207">
        <f>INDEX($A$35:$H$42,MATCH($L41,$B$35:$B$42,0),MATCH($BC$34,$A$35:$H$35,0))*고양시_Modal_split!D$3 * 0.01</f>
        <v>2.4669175517318411E-3</v>
      </c>
      <c r="BE41" s="207">
        <f>INDEX($A$35:$H$42,MATCH($L41,$B$35:$B$42,0),MATCH($BC$34,$A$35:$H$35,0))*고양시_Modal_split!E$3 * 0.01</f>
        <v>2.9846397766009302E-4</v>
      </c>
      <c r="BF41" s="207">
        <f>INDEX($A$35:$H$42,MATCH($L41,$B$35:$B$42,0),MATCH($BC$34,$A$35:$H$35,0))*고양시_Modal_split!F$3 * 0.01</f>
        <v>4.8100433658050147E-4</v>
      </c>
      <c r="BG41" s="207">
        <f>INDEX($A$35:$H$42,MATCH($L41,$B$35:$B$42,0),MATCH($BC$34,$A$35:$H$35,0))*고양시_Modal_split!G$3 * 0.01</f>
        <v>4.8257796036429809E-5</v>
      </c>
      <c r="BH41" s="207">
        <f>INDEX($A$35:$H$42,MATCH($L41,$B$35:$B$42,0),MATCH($BC$34,$A$35:$H$35,0))*고양시_Modal_split!H$3 * 0.01</f>
        <v>5.2454126126554142E-7</v>
      </c>
      <c r="BI41" s="207">
        <f>INDEX($A$35:$H$42,MATCH($L41,$B$35:$B$42,0),MATCH($BC$34,$A$35:$H$35,0))*고양시_Modal_split!I$3 * 0.01</f>
        <v>1.458224706318205E-4</v>
      </c>
      <c r="BJ41" s="207">
        <f>INDEX($A$35:$H$42,MATCH($L41,$B$35:$B$42,0),MATCH($BC$34,$A$35:$H$35,0))*고양시_Modal_split!J$3 * 0.01</f>
        <v>1.5967035992923082E-3</v>
      </c>
      <c r="BK41" s="207">
        <f>INDEX($A$35:$H$42,MATCH($L41,$B$35:$B$42,0),MATCH($BC$34,$A$35:$H$35,0))*고양시_Modal_split!K$3 * 0.01</f>
        <v>7.8681189189831201E-6</v>
      </c>
      <c r="BL41" s="207">
        <f>INDEX($A$35:$H$42,MATCH($L41,$B$35:$B$42,0),MATCH($BC$34,$A$35:$H$35,0))*고양시_Modal_split!L$3 * 0.01</f>
        <v>1.5841146090219351E-4</v>
      </c>
      <c r="BM41" s="207">
        <f>INDEX($A$35:$H$42,MATCH($L41,$B$35:$B$42,0),MATCH($BC$34,$A$35:$H$35,0))*고양시_Modal_split!M$3 * 0.01</f>
        <v>1.2064449009107452E-5</v>
      </c>
      <c r="BN41" s="207">
        <f>INDEX($A$35:$H$42,MATCH($L41,$B$35:$B$42,0),MATCH($BC$34,$A$35:$H$35,0))*고양시_Modal_split!N$3 * 0.01</f>
        <v>5.2454126126554148E-6</v>
      </c>
      <c r="BO41" s="207">
        <f>INDEX($A$35:$H$42,MATCH($L41,$B$35:$B$42,0),MATCH($BC$34,$A$35:$H$35,0))*고양시_Modal_split!O$3 * 0.01</f>
        <v>9.4417427027797445E-6</v>
      </c>
      <c r="BP41" s="207">
        <f>INDEX($A$35:$H$42,MATCH($L41,$B$35:$B$42,0),MATCH($BC$34,$A$35:$H$35,0))*고양시_Modal_split!P$3 * 0.01</f>
        <v>5.2454126126554139E-3</v>
      </c>
      <c r="BQ41" s="207">
        <f>INDEX($A$35:$H$42,MATCH($L41,$B$35:$B$42,0),MATCH($BQ$34,$A$35:$H$35,0))*고양시_Modal_split!C$3 * 0.01</f>
        <v>4.1613606727066404E-5</v>
      </c>
      <c r="BR41" s="207">
        <f>INDEX($A$35:$H$42,MATCH($L41,$B$35:$B$42,0),MATCH($BQ$34,$A$35:$H$35,0))*고양시_Modal_split!D$3 * 0.01</f>
        <v>6.9895997299069049E-3</v>
      </c>
      <c r="BS41" s="207">
        <f>INDEX($A$35:$H$42,MATCH($L41,$B$35:$B$42,0),MATCH($BQ$34,$A$35:$H$35,0))*고양시_Modal_split!E$3 * 0.01</f>
        <v>8.4564793670359939E-4</v>
      </c>
      <c r="BT41" s="207">
        <f>INDEX($A$35:$H$42,MATCH($L41,$B$35:$B$42,0),MATCH($BQ$34,$A$35:$H$35,0))*고양시_Modal_split!F$3 * 0.01</f>
        <v>1.3628456203114247E-3</v>
      </c>
      <c r="BU41" s="207">
        <f>INDEX($A$35:$H$42,MATCH($L41,$B$35:$B$42,0),MATCH($BQ$34,$A$35:$H$35,0))*고양시_Modal_split!G$3 * 0.01</f>
        <v>1.3673042210321818E-4</v>
      </c>
      <c r="BV41" s="207">
        <f>INDEX($A$35:$H$42,MATCH($L41,$B$35:$B$42,0),MATCH($BQ$34,$A$35:$H$35,0))*고양시_Modal_split!H$3 * 0.01</f>
        <v>1.4862002402523719E-6</v>
      </c>
      <c r="BW41" s="207">
        <f>INDEX($A$35:$H$42,MATCH($L41,$B$35:$B$42,0),MATCH($BQ$34,$A$35:$H$35,0))*고양시_Modal_split!I$3 * 0.01</f>
        <v>4.131636667901593E-4</v>
      </c>
      <c r="BX41" s="207">
        <f>INDEX($A$35:$H$42,MATCH($L41,$B$35:$B$42,0),MATCH($BQ$34,$A$35:$H$35,0))*고양시_Modal_split!J$3 * 0.01</f>
        <v>4.5239935313282197E-3</v>
      </c>
      <c r="BY41" s="207">
        <f>INDEX($A$35:$H$42,MATCH($L41,$B$35:$B$42,0),MATCH($BQ$34,$A$35:$H$35,0))*고양시_Modal_split!K$3 * 0.01</f>
        <v>2.2293003603785573E-5</v>
      </c>
      <c r="BZ41" s="207">
        <f>INDEX($A$35:$H$42,MATCH($L41,$B$35:$B$42,0),MATCH($BQ$34,$A$35:$H$35,0))*고양시_Modal_split!L$3 * 0.01</f>
        <v>4.4883247255621625E-4</v>
      </c>
      <c r="CA41" s="207">
        <f>INDEX($A$35:$H$42,MATCH($L41,$B$35:$B$42,0),MATCH($BQ$34,$A$35:$H$35,0))*고양시_Modal_split!M$3 * 0.01</f>
        <v>3.4182605525804546E-5</v>
      </c>
      <c r="CB41" s="207">
        <f>INDEX($A$35:$H$42,MATCH($L41,$B$35:$B$42,0),MATCH($BQ$34,$A$35:$H$35,0))*고양시_Modal_split!N$3 * 0.01</f>
        <v>1.4862002402523719E-5</v>
      </c>
      <c r="CC41" s="207">
        <f>INDEX($A$35:$H$42,MATCH($L41,$B$35:$B$42,0),MATCH($BQ$34,$A$35:$H$35,0))*고양시_Modal_split!O$3 * 0.01</f>
        <v>2.6751604324542687E-5</v>
      </c>
      <c r="CD41" s="207">
        <f>INDEX($A$35:$H$42,MATCH($L41,$B$35:$B$42,0),MATCH($BQ$34,$A$35:$H$35,0))*고양시_Modal_split!P$3 * 0.01</f>
        <v>1.4862002402523718E-2</v>
      </c>
      <c r="CE41" s="304">
        <f t="shared" si="10"/>
        <v>0.14336989054123045</v>
      </c>
      <c r="CF41" s="304">
        <f t="shared" si="5"/>
        <v>24.081021257693099</v>
      </c>
      <c r="CG41" s="304">
        <f t="shared" si="5"/>
        <v>2.9134809899271472</v>
      </c>
      <c r="CH41" s="304">
        <f t="shared" si="5"/>
        <v>4.6953639152252977</v>
      </c>
      <c r="CI41" s="304">
        <f t="shared" si="5"/>
        <v>0.47107249749261432</v>
      </c>
      <c r="CJ41" s="304">
        <f t="shared" si="5"/>
        <v>5.1203532336153738E-3</v>
      </c>
      <c r="CK41" s="304">
        <f t="shared" si="5"/>
        <v>1.4234581989450739</v>
      </c>
      <c r="CL41" s="304">
        <f t="shared" si="5"/>
        <v>15.586355243125199</v>
      </c>
      <c r="CM41" s="304">
        <f t="shared" si="5"/>
        <v>7.680529850423061E-2</v>
      </c>
      <c r="CN41" s="304">
        <f t="shared" si="5"/>
        <v>1.5463466765518428</v>
      </c>
      <c r="CO41" s="304">
        <f t="shared" si="5"/>
        <v>0.11776812437315358</v>
      </c>
      <c r="CP41" s="304">
        <f t="shared" si="5"/>
        <v>5.120353233615374E-2</v>
      </c>
      <c r="CQ41" s="304">
        <f t="shared" si="5"/>
        <v>9.2166358205076709E-2</v>
      </c>
      <c r="CR41" s="304">
        <f t="shared" si="5"/>
        <v>51.203532336153735</v>
      </c>
      <c r="CS41" s="305">
        <f t="shared" si="11"/>
        <v>0</v>
      </c>
      <c r="CV41" s="267"/>
      <c r="CW41" s="267" t="s">
        <v>720</v>
      </c>
      <c r="CX41" s="267">
        <f>INDEX($M$34:$Z$42,MATCH($CW41,$L$34:$L$42,0),MATCH(CX$35,$M$35:$Z$35,0))/INDEX(고양시_재차인원!$D$4:$H$35,MATCH("고양시",고양시_재차인원!$B$4:$B$35,0),MATCH($CX$34,고양시_재차인원!$D$4:$H$4,0))</f>
        <v>2.3564202030605235</v>
      </c>
      <c r="CY41" s="267">
        <f>INDEX($M$34:$Z$42,MATCH($CW41,$L$34:$L$42,0),MATCH(CY$35,$M$35:$Z$35,0))/INDEX(고양시_재차인원!$K$4:$O$20,MATCH("경기도",고양시_재차인원!$K$4:$K$20,0),MATCH(CY$35,고양시_재차인원!$K$4:$O$4,0))</f>
        <v>1.9491897395296498E-5</v>
      </c>
      <c r="CZ41" s="267">
        <f>INDEX($M$34:$Z$42,MATCH($CW41,$L$34:$L$42,0),MATCH(CZ$35,$M$35:$Z$35,0))/INDEX(고양시_재차인원!$K$4:$O$20,MATCH("경기도",고양시_재차인원!$K$4:$K$20,0),MATCH(CZ$35,고양시_재차인원!$K$4:$O$4,0))</f>
        <v>5.418747475892426E-3</v>
      </c>
      <c r="DA41" s="267">
        <f>INDEX($M$34:$Z$42,MATCH($CW41,$L$34:$L$42,0),MATCH(DA$35,$M$35:$Z$35,0))/INDEX(고양시_재차인원!$D$4:$H$35,MATCH("고양시",고양시_재차인원!$B$4:$B$35,0),MATCH($CX$34,고양시_재차인원!$D$4:$H$4,0))</f>
        <v>0.15131594754928301</v>
      </c>
      <c r="DB41" s="267">
        <f>INDEX($AA$34:$AN$42,MATCH($CW41,$L$34:$L$42,0),MATCH(DB$35,$AA$35:$AN$35,0))/INDEX(고양시_재차인원!$D$4:$H$35,MATCH("고양시",고양시_재차인원!$B$4:$B$35,0),MATCH($DB$34,고양시_재차인원!$D$4:$H$4,0))</f>
        <v>14.555105153037275</v>
      </c>
      <c r="DC41" s="267">
        <f>INDEX($AA$34:$AN$42,MATCH($CW41,$L$34:$L$42,0),MATCH(DC$35,$AA$35:$AN$35,0))/INDEX(고양시_재차인원!$K$4:$O$20,MATCH("경기도",고양시_재차인원!$K$4:$K$20,0),MATCH(DC$35,고양시_재차인원!$K$4:$O$4,0))</f>
        <v>1.5157159347035777E-4</v>
      </c>
      <c r="DD41" s="267">
        <f>INDEX($AA$34:$AN$42,MATCH($CW41,$L$34:$L$42,0),MATCH(DD$35,$AA$35:$AN$35,0))/INDEX(고양시_재차인원!$K$4:$O$20,MATCH("경기도",고양시_재차인원!$K$4:$K$20,0),MATCH(DD$35,고양시_재차인원!$K$4:$O$4,0))</f>
        <v>4.2136902984759465E-2</v>
      </c>
      <c r="DE41" s="267">
        <f>INDEX($AA$34:$AN$42,MATCH($CW41,$L$34:$L$42,0),MATCH(DE$35,$AA$35:$AN$35,0))/INDEX(고양시_재차인원!$D$4:$H$35,MATCH("고양시",고양시_재차인원!$B$4:$B$35,0),MATCH($DB$34,고양시_재차인원!$D$4:$H$4,0))</f>
        <v>0.93464634408191738</v>
      </c>
      <c r="DF41" s="267">
        <f>INDEX($AO$34:$BB$42,MATCH($CW41,$L$34:$L$42,0),MATCH(DF$35,$AO$35:$BB$35,0))/INDEX(고양시_재차인원!$D$4:$H$35,MATCH("고양시",고양시_재차인원!$B$4:$B$35,0),MATCH($DF$34,고양시_재차인원!$D$4:$H$4,0))</f>
        <v>0.69975065169316919</v>
      </c>
      <c r="DG41" s="267">
        <f>INDEX($AO$34:$BB$42,MATCH($CW41,$L$34:$L$42,0),MATCH(DG$35,$AO$35:$BB$35,0))/INDEX(고양시_재차인원!$K$4:$O$20,MATCH("경기도",고양시_재차인원!$K$4:$K$20,0),MATCH(DG$35,고양시_재차인원!$K$4:$O$4,0))</f>
        <v>6.7184644005442548E-6</v>
      </c>
      <c r="DH41" s="267">
        <f>INDEX($AO$34:$BB$42,MATCH($CW41,$L$34:$L$42,0),MATCH(DH$35,$AO$35:$BB$35,0))/INDEX(고양시_재차인원!$K$4:$O$20,MATCH("경기도",고양시_재차인원!$K$4:$K$20,0),MATCH(DH$35,고양시_재차인원!$K$4:$O$4,0))</f>
        <v>1.8677331033513029E-3</v>
      </c>
      <c r="DI41" s="267">
        <f>INDEX($AO$34:$BB$42,MATCH($CW41,$L$34:$L$42,0),MATCH(DI$35,$AO$35:$BB$35,0))/INDEX(고양시_재차인원!$D$4:$H$35,MATCH("고양시",고양시_재차인원!$B$4:$B$35,0),MATCH($DF$34,고양시_재차인원!$D$4:$H$4,0))</f>
        <v>4.4934020159756977E-2</v>
      </c>
      <c r="DJ41" s="267">
        <f>INDEX($BC$34:$BP$42,MATCH($CW41,$L$34:$L$42,0),MATCH(DJ$35,$BC$35:$BP$35,0))/INDEX(고양시_재차인원!$D$4:$H$35,MATCH("고양시",고양시_재차인원!$B$4:$B$35,0),MATCH($DJ$34,고양시_재차인원!$D$4:$H$4,0))</f>
        <v>1.8139099645087065E-3</v>
      </c>
      <c r="DK41" s="267">
        <f>INDEX($BC$34:$BP$42,MATCH($CW41,$L$34:$L$42,0),MATCH(DK$35,$BC$35:$BP$35,0))/INDEX(고양시_재차인원!$K$4:$O$20,MATCH("경기도",고양시_재차인원!$K$4:$K$20,0),MATCH(DK$35,고양시_재차인원!$K$4:$O$4,0))</f>
        <v>1.8219564476052151E-8</v>
      </c>
      <c r="DL41" s="267">
        <f>INDEX($BC$34:$BP$42,MATCH($CW41,$L$34:$L$42,0),MATCH(DL$35,$BC$35:$BP$35,0))/INDEX(고양시_재차인원!$K$4:$O$20,MATCH("경기도",고양시_재차인원!$K$4:$K$20,0),MATCH(DL$35,고양시_재차인원!$K$4:$O$4,0))</f>
        <v>5.0650389243424977E-6</v>
      </c>
      <c r="DM41" s="267">
        <f>INDEX($BC$34:$BP$42,MATCH($CW41,$L$34:$L$42,0),MATCH(DM$35,$BC$35:$BP$35,0))/INDEX(고양시_재차인원!$D$4:$H$35,MATCH("고양시",고양시_재차인원!$B$4:$B$35,0),MATCH($DJ$34,고양시_재차인원!$D$4:$H$4,0))</f>
        <v>1.1647901536925992E-4</v>
      </c>
      <c r="DN41" s="267">
        <f>INDEX($BQ$34:$CD$42,MATCH($CW41,$L$34:$L$42,0),MATCH(DN$35,$BQ$35:$CD$35,0))/INDEX(고양시_재차인원!$D$4:$H$35,MATCH("고양시",고양시_재차인원!$B$4:$B$35,0),MATCH($DN$34,고양시_재차인원!$D$4:$H$4,0))</f>
        <v>5.5473013729419882E-3</v>
      </c>
      <c r="DO41" s="267">
        <f>INDEX($BQ$34:$CD$42,MATCH($CW41,$L$34:$L$42,0),MATCH(DO$35,$BQ$35:$CD$35,0))/INDEX(고양시_재차인원!$K$4:$O$20,MATCH("경기도",고양시_재차인원!$K$4:$K$20,0),MATCH(DO$35,고양시_재차인원!$K$4:$O$4,0))</f>
        <v>5.1622099348814586E-8</v>
      </c>
      <c r="DP41" s="267">
        <f>INDEX($BQ$34:$CD$42,MATCH($CW41,$L$34:$L$42,0),MATCH(DP$35,$BQ$35:$CD$35,0))/INDEX(고양시_재차인원!$K$4:$O$20,MATCH("경기도",고양시_재차인원!$K$4:$K$20,0),MATCH(DP$35,고양시_재차인원!$K$4:$O$4,0))</f>
        <v>1.4350943618970452E-5</v>
      </c>
      <c r="DQ41" s="267">
        <f>INDEX($BQ$34:$CD$42,MATCH($CW41,$L$34:$L$42,0),MATCH(DQ$35,$BQ$35:$CD$35,0))/INDEX(고양시_재차인원!$D$4:$H$35,MATCH("고양시",고양시_재차인원!$B$4:$B$35,0),MATCH($DN$34,고양시_재차인원!$D$4:$H$4,0))</f>
        <v>3.5621624806048911E-4</v>
      </c>
      <c r="DR41" s="270">
        <f t="shared" si="12"/>
        <v>17.618637219128416</v>
      </c>
      <c r="DS41" s="270">
        <f t="shared" si="6"/>
        <v>1.7785179693002338E-4</v>
      </c>
      <c r="DT41" s="270">
        <f t="shared" si="6"/>
        <v>4.9442799546546505E-2</v>
      </c>
      <c r="DU41" s="270">
        <f t="shared" si="6"/>
        <v>1.1313690070543871</v>
      </c>
      <c r="DW41" s="278"/>
      <c r="DX41" s="278" t="s">
        <v>720</v>
      </c>
      <c r="DY41" s="281">
        <f t="shared" si="13"/>
        <v>18.750006226182805</v>
      </c>
      <c r="DZ41" s="281">
        <f t="shared" si="14"/>
        <v>4.9620651343476527E-2</v>
      </c>
      <c r="EB41" s="278"/>
      <c r="EC41" s="278" t="s">
        <v>13</v>
      </c>
      <c r="ED41" s="281">
        <f t="shared" si="15"/>
        <v>18.750006226182805</v>
      </c>
      <c r="EE41" s="281">
        <f t="shared" si="7"/>
        <v>4.9620651343476527E-2</v>
      </c>
    </row>
    <row r="42" spans="1:157" ht="37.5">
      <c r="A42" s="205" t="s">
        <v>702</v>
      </c>
      <c r="B42" s="205" t="s">
        <v>723</v>
      </c>
      <c r="C42" s="400">
        <f>$D14*KTDB_TripDistribution_2035!L$12 * (1+KTDB_발생량도착량_증가율!$C$8) * (1+KTDB_발생량도착량_증가율!$D$7*5) * (1+KTDB_발생량도착량_증가율!$E$7*5)</f>
        <v>33.670303560635169</v>
      </c>
      <c r="D42" s="400">
        <f>$D14*KTDB_TripDistribution_2035!M$12 * (1+KTDB_발생량도착량_증가율!$C$8) * (1+KTDB_발생량도착량_증가율!$D$7*5) * (1+KTDB_발생량도착량_증가율!$E$7*5)</f>
        <v>261.82477056069604</v>
      </c>
      <c r="E42" s="400">
        <f>$D14*KTDB_TripDistribution_2035!N$12 * (1+KTDB_발생량도착량_증가율!$C$8) * (1+KTDB_발생량도착량_증가율!$D$7*5) * (1+KTDB_발생량도착량_증가율!$E$7*5)</f>
        <v>11.605475405500147</v>
      </c>
      <c r="F42" s="400">
        <f>$D14*KTDB_TripDistribution_2035!O$12 * (1+KTDB_발생량도착량_증가율!$C$8) * (1+KTDB_발생량도착량_증가율!$D$7*5) * (1+KTDB_발생량도착량_증가율!$E$7*5)</f>
        <v>3.1472475675932483E-2</v>
      </c>
      <c r="G42" s="400">
        <f>$D14*KTDB_TripDistribution_2035!P$12 * (1+KTDB_발생량도착량_증가율!$C$8) * (1+KTDB_발생량도착량_증가율!$D$7*5) * (1+KTDB_발생량도착량_증가율!$E$7*5)</f>
        <v>8.9172014415142303E-2</v>
      </c>
      <c r="H42" s="400">
        <f>$D14*KTDB_TripDistribution_2035!Q$12 * (1+KTDB_발생량도착량_증가율!$C$8) * (1+KTDB_발생량도착량_증가율!$D$7*5) * (1+KTDB_발생량도착량_증가율!$E$7*5)</f>
        <v>307.22119401692237</v>
      </c>
      <c r="I42" s="56"/>
      <c r="J42" s="56"/>
      <c r="K42" s="206"/>
      <c r="L42" s="206" t="s">
        <v>722</v>
      </c>
      <c r="M42" s="206">
        <f>INDEX($A$35:$H$42,MATCH($L42,$B$35:$B$42,0),MATCH($M$34,$A$35:$H$35,0))*고양시_Modal_split!C$3 * 0.01</f>
        <v>9.4276849969778476E-2</v>
      </c>
      <c r="N42" s="206">
        <f>INDEX($A$35:$H$42,MATCH($L42,$B$35:$B$42,0),MATCH($M$34,$A$35:$H$35,0))*고양시_Modal_split!D$3 * 0.01</f>
        <v>15.83514376456672</v>
      </c>
      <c r="O42" s="206">
        <f>INDEX($A$35:$H$42,MATCH($L42,$B$35:$B$42,0),MATCH($M$34,$A$35:$H$35,0))*고양시_Modal_split!E$3 * 0.01</f>
        <v>1.9158402726001409</v>
      </c>
      <c r="P42" s="206">
        <f>INDEX($A$35:$H$42,MATCH($L42,$B$35:$B$42,0),MATCH($M$34,$A$35:$H$35,0))*고양시_Modal_split!F$3 * 0.01</f>
        <v>3.0875668365102449</v>
      </c>
      <c r="Q42" s="206">
        <f>INDEX($A$35:$H$42,MATCH($L42,$B$35:$B$42,0),MATCH($M$34,$A$35:$H$35,0))*고양시_Modal_split!G$3 * 0.01</f>
        <v>0.30976679275784352</v>
      </c>
      <c r="R42" s="206">
        <f>INDEX($A$35:$H$42,MATCH($L42,$B$35:$B$42,0),MATCH($M$34,$A$35:$H$35,0))*고양시_Modal_split!H$3 * 0.01</f>
        <v>3.3670303560635168E-3</v>
      </c>
      <c r="S42" s="206">
        <f>INDEX($A$35:$H$42,MATCH($L42,$B$35:$B$42,0),MATCH($M$34,$A$35:$H$35,0))*고양시_Modal_split!I$3 * 0.01</f>
        <v>0.93603443898565764</v>
      </c>
      <c r="T42" s="206">
        <f>INDEX($A$35:$H$42,MATCH($L42,$B$35:$B$42,0),MATCH($M$34,$A$35:$H$35,0))*고양시_Modal_split!J$3 * 0.01</f>
        <v>10.249240403857346</v>
      </c>
      <c r="U42" s="206">
        <f>INDEX($A$35:$H$42,MATCH($L42,$B$35:$B$42,0),MATCH($M$34,$A$35:$H$35,0))*고양시_Modal_split!K$3 * 0.01</f>
        <v>5.050545534095275E-2</v>
      </c>
      <c r="V42" s="206">
        <f>INDEX($A$35:$H$42,MATCH($L42,$B$35:$B$42,0),MATCH($M$34,$A$35:$H$35,0))*고양시_Modal_split!L$3 * 0.01</f>
        <v>1.0168431675311822</v>
      </c>
      <c r="W42" s="206">
        <f>INDEX($A$35:$H$42,MATCH($L42,$B$35:$B$42,0),MATCH($M$34,$A$35:$H$35,0))*고양시_Modal_split!M$3 * 0.01</f>
        <v>7.7441698189460881E-2</v>
      </c>
      <c r="X42" s="206">
        <f>INDEX($A$35:$H$42,MATCH($L42,$B$35:$B$42,0),MATCH($M$34,$A$35:$H$35,0))*고양시_Modal_split!N$3 * 0.01</f>
        <v>3.3670303560635169E-2</v>
      </c>
      <c r="Y42" s="206">
        <f>INDEX($A$35:$H$42,MATCH($L42,$B$35:$B$42,0),MATCH($M$34,$A$35:$H$35,0))*고양시_Modal_split!O$3 * 0.01</f>
        <v>6.06065464091433E-2</v>
      </c>
      <c r="Z42" s="209">
        <f>INDEX($A$35:$H$42,MATCH($L42,$B$35:$B$42,0),MATCH($M$34,$A$35:$H$35,0))*고양시_Modal_split!P$3 * 0.01</f>
        <v>33.670303560635169</v>
      </c>
      <c r="AA42" s="207">
        <f>INDEX($A$35:$H$42,MATCH($L42,$B$35:$B$42,0),MATCH($AA$34,$A$35:$H$35,0))*고양시_Modal_split!C$3 * 0.01</f>
        <v>0.73310935756994877</v>
      </c>
      <c r="AB42" s="207">
        <f>INDEX($A$35:$H$42,MATCH($L42,$B$35:$B$42,0),MATCH($AA$34,$A$35:$H$35,0))*고양시_Modal_split!D$3 * 0.01</f>
        <v>123.13618959469535</v>
      </c>
      <c r="AC42" s="207">
        <f>INDEX($A$35:$H$42,MATCH($L42,$B$35:$B$42,0),MATCH($AA$34,$A$35:$H$35,0))*고양시_Modal_split!E$3 * 0.01</f>
        <v>14.897829444903604</v>
      </c>
      <c r="AD42" s="207">
        <f>INDEX($A$35:$H$42,MATCH($L42,$B$35:$B$42,0),MATCH($AA$34,$A$35:$H$35,0))*고양시_Modal_split!F$3 * 0.01</f>
        <v>24.009331460415829</v>
      </c>
      <c r="AE42" s="207">
        <f>INDEX($A$35:$H$42,MATCH($L42,$B$35:$B$42,0),MATCH($AA$34,$A$35:$H$35,0))*고양시_Modal_split!G$3 * 0.01</f>
        <v>2.4087878891584036</v>
      </c>
      <c r="AF42" s="207">
        <f>INDEX($A$35:$H$42,MATCH($L42,$B$35:$B$42,0),MATCH($AA$34,$A$35:$H$35,0))*고양시_Modal_split!H$3 * 0.01</f>
        <v>2.6182477056069606E-2</v>
      </c>
      <c r="AG42" s="207">
        <f>INDEX($A$35:$H$42,MATCH($L42,$B$35:$B$42,0),MATCH($AA$34,$A$35:$H$35,0))*고양시_Modal_split!I$3 * 0.01</f>
        <v>7.2787286215873497</v>
      </c>
      <c r="AH42" s="207">
        <f>INDEX($A$35:$H$42,MATCH($L42,$B$35:$B$42,0),MATCH($AA$34,$A$35:$H$35,0))*고양시_Modal_split!J$3 * 0.01</f>
        <v>79.699460158675876</v>
      </c>
      <c r="AI42" s="207">
        <f>INDEX($A$35:$H$42,MATCH($L42,$B$35:$B$42,0),MATCH($AA$34,$A$35:$H$35,0))*고양시_Modal_split!K$3 * 0.01</f>
        <v>0.39273715584104402</v>
      </c>
      <c r="AJ42" s="207">
        <f>INDEX($A$35:$H$42,MATCH($L42,$B$35:$B$42,0),MATCH($AA$34,$A$35:$H$35,0))*고양시_Modal_split!L$3 * 0.01</f>
        <v>7.9071080709330204</v>
      </c>
      <c r="AK42" s="207">
        <f>INDEX($A$35:$H$42,MATCH($L42,$B$35:$B$42,0),MATCH($AA$34,$A$35:$H$35,0))*고양시_Modal_split!M$3 * 0.01</f>
        <v>0.6021969722896009</v>
      </c>
      <c r="AL42" s="207">
        <f>INDEX($A$35:$H$42,MATCH($L42,$B$35:$B$42,0),MATCH($AA$34,$A$35:$H$35,0))*고양시_Modal_split!N$3 * 0.01</f>
        <v>0.26182477056069603</v>
      </c>
      <c r="AM42" s="207">
        <f>INDEX($A$35:$H$42,MATCH($L42,$B$35:$B$42,0),MATCH($AA$34,$A$35:$H$35,0))*고양시_Modal_split!O$3 * 0.01</f>
        <v>0.47128458700925285</v>
      </c>
      <c r="AN42" s="207">
        <f>INDEX($A$35:$H$42,MATCH($L42,$B$35:$B$42,0),MATCH($AA$34,$A$35:$H$35,0))*고양시_Modal_split!P$3 * 0.01</f>
        <v>261.82477056069604</v>
      </c>
      <c r="AO42" s="303">
        <f>INDEX($A$35:$H$42,MATCH($L42,$B$35:$B$42,0),MATCH($AO$34,$A$35:$H$35,0))*고양시_Modal_split!C$3 * 0.01</f>
        <v>3.2495331135400408E-2</v>
      </c>
      <c r="AP42" s="303">
        <f>INDEX($A$35:$H$42,MATCH($L42,$B$35:$B$42,0),MATCH($AO$34,$A$35:$H$35,0))*고양시_Modal_split!D$3 * 0.01</f>
        <v>5.4580550832067196</v>
      </c>
      <c r="AQ42" s="303">
        <f>INDEX($A$35:$H$42,MATCH($L42,$B$35:$B$42,0),MATCH($AO$34,$A$35:$H$35,0))*고양시_Modal_split!E$3 * 0.01</f>
        <v>0.66035155057295836</v>
      </c>
      <c r="AR42" s="303">
        <f>INDEX($A$35:$H$42,MATCH($L42,$B$35:$B$42,0),MATCH($AO$34,$A$35:$H$35,0))*고양시_Modal_split!F$3 * 0.01</f>
        <v>1.0642220946843635</v>
      </c>
      <c r="AS42" s="303">
        <f>INDEX($A$35:$H$42,MATCH($L42,$B$35:$B$42,0),MATCH($AO$34,$A$35:$H$35,0))*고양시_Modal_split!G$3 * 0.01</f>
        <v>0.10677037373060135</v>
      </c>
      <c r="AT42" s="303">
        <f>INDEX($A$35:$H$42,MATCH($L42,$B$35:$B$42,0),MATCH($AO$34,$A$35:$H$35,0))*고양시_Modal_split!H$3 * 0.01</f>
        <v>1.1605475405500147E-3</v>
      </c>
      <c r="AU42" s="303">
        <f>INDEX($A$35:$H$42,MATCH($L42,$B$35:$B$42,0),MATCH($AO$34,$A$35:$H$35,0))*고양시_Modal_split!I$3 * 0.01</f>
        <v>0.32263221627290406</v>
      </c>
      <c r="AV42" s="303">
        <f>INDEX($A$35:$H$42,MATCH($L42,$B$35:$B$42,0),MATCH($AO$34,$A$35:$H$35,0))*고양시_Modal_split!J$3 * 0.01</f>
        <v>3.5327067134342451</v>
      </c>
      <c r="AW42" s="303">
        <f>INDEX($A$35:$H$42,MATCH($L42,$B$35:$B$42,0),MATCH($AO$34,$A$35:$H$35,0))*고양시_Modal_split!K$3 * 0.01</f>
        <v>1.740821310825022E-2</v>
      </c>
      <c r="AX42" s="303">
        <f>INDEX($A$35:$H$42,MATCH($L42,$B$35:$B$42,0),MATCH($AO$34,$A$35:$H$35,0))*고양시_Modal_split!L$3 * 0.01</f>
        <v>0.35048535724610447</v>
      </c>
      <c r="AY42" s="303">
        <f>INDEX($A$35:$H$42,MATCH($L42,$B$35:$B$42,0),MATCH($AO$34,$A$35:$H$35,0))*고양시_Modal_split!M$3 * 0.01</f>
        <v>2.6692593432650336E-2</v>
      </c>
      <c r="AZ42" s="303">
        <f>INDEX($A$35:$H$42,MATCH($L42,$B$35:$B$42,0),MATCH($AO$34,$A$35:$H$35,0))*고양시_Modal_split!N$3 * 0.01</f>
        <v>1.1605475405500148E-2</v>
      </c>
      <c r="BA42" s="207">
        <f>INDEX($A$35:$H$42,MATCH($L42,$B$35:$B$42,0),MATCH($AO$34,$A$35:$H$35,0))*고양시_Modal_split!O$3 * 0.01</f>
        <v>2.0889855729900268E-2</v>
      </c>
      <c r="BB42" s="207">
        <f>INDEX($A$35:$H$42,MATCH($L42,$B$35:$B$42,0),MATCH($AO$34,$A$35:$H$35,0))*고양시_Modal_split!P$3 * 0.01</f>
        <v>11.605475405500147</v>
      </c>
      <c r="BC42" s="207">
        <f>INDEX($A$35:$H$42,MATCH($L42,$B$35:$B$42,0),MATCH($BC$34,$A$35:$H$35,0))*고양시_Modal_split!C$3 * 0.01</f>
        <v>8.8122931892610951E-5</v>
      </c>
      <c r="BD42" s="207">
        <f>INDEX($A$35:$H$42,MATCH($L42,$B$35:$B$42,0),MATCH($BC$34,$A$35:$H$35,0))*고양시_Modal_split!D$3 * 0.01</f>
        <v>1.4801505310391047E-2</v>
      </c>
      <c r="BE42" s="207">
        <f>INDEX($A$35:$H$42,MATCH($L42,$B$35:$B$42,0),MATCH($BC$34,$A$35:$H$35,0))*고양시_Modal_split!E$3 * 0.01</f>
        <v>1.7907838659605583E-3</v>
      </c>
      <c r="BF42" s="207">
        <f>INDEX($A$35:$H$42,MATCH($L42,$B$35:$B$42,0),MATCH($BC$34,$A$35:$H$35,0))*고양시_Modal_split!F$3 * 0.01</f>
        <v>2.8860260194830088E-3</v>
      </c>
      <c r="BG42" s="207">
        <f>INDEX($A$35:$H$42,MATCH($L42,$B$35:$B$42,0),MATCH($BC$34,$A$35:$H$35,0))*고양시_Modal_split!G$3 * 0.01</f>
        <v>2.8954677621857884E-4</v>
      </c>
      <c r="BH42" s="207">
        <f>INDEX($A$35:$H$42,MATCH($L42,$B$35:$B$42,0),MATCH($BC$34,$A$35:$H$35,0))*고양시_Modal_split!H$3 * 0.01</f>
        <v>3.1472475675932487E-6</v>
      </c>
      <c r="BI42" s="207">
        <f>INDEX($A$35:$H$42,MATCH($L42,$B$35:$B$42,0),MATCH($BC$34,$A$35:$H$35,0))*고양시_Modal_split!I$3 * 0.01</f>
        <v>8.7493482379092302E-4</v>
      </c>
      <c r="BJ42" s="207">
        <f>INDEX($A$35:$H$42,MATCH($L42,$B$35:$B$42,0),MATCH($BC$34,$A$35:$H$35,0))*고양시_Modal_split!J$3 * 0.01</f>
        <v>9.5802215957538489E-3</v>
      </c>
      <c r="BK42" s="207">
        <f>INDEX($A$35:$H$42,MATCH($L42,$B$35:$B$42,0),MATCH($BC$34,$A$35:$H$35,0))*고양시_Modal_split!K$3 * 0.01</f>
        <v>4.7208713513898728E-5</v>
      </c>
      <c r="BL42" s="207">
        <f>INDEX($A$35:$H$42,MATCH($L42,$B$35:$B$42,0),MATCH($BC$34,$A$35:$H$35,0))*고양시_Modal_split!L$3 * 0.01</f>
        <v>9.5046876541316112E-4</v>
      </c>
      <c r="BM42" s="207">
        <f>INDEX($A$35:$H$42,MATCH($L42,$B$35:$B$42,0),MATCH($BC$34,$A$35:$H$35,0))*고양시_Modal_split!M$3 * 0.01</f>
        <v>7.2386694054644711E-5</v>
      </c>
      <c r="BN42" s="207">
        <f>INDEX($A$35:$H$42,MATCH($L42,$B$35:$B$42,0),MATCH($BC$34,$A$35:$H$35,0))*고양시_Modal_split!N$3 * 0.01</f>
        <v>3.1472475675932487E-5</v>
      </c>
      <c r="BO42" s="207">
        <f>INDEX($A$35:$H$42,MATCH($L42,$B$35:$B$42,0),MATCH($BC$34,$A$35:$H$35,0))*고양시_Modal_split!O$3 * 0.01</f>
        <v>5.665045621667847E-5</v>
      </c>
      <c r="BP42" s="207">
        <f>INDEX($A$35:$H$42,MATCH($L42,$B$35:$B$42,0),MATCH($BC$34,$A$35:$H$35,0))*고양시_Modal_split!P$3 * 0.01</f>
        <v>3.1472475675932483E-2</v>
      </c>
      <c r="BQ42" s="207">
        <f>INDEX($A$35:$H$42,MATCH($L42,$B$35:$B$42,0),MATCH($BQ$34,$A$35:$H$35,0))*고양시_Modal_split!C$3 * 0.01</f>
        <v>2.4968164036239844E-4</v>
      </c>
      <c r="BR42" s="207">
        <f>INDEX($A$35:$H$42,MATCH($L42,$B$35:$B$42,0),MATCH($BQ$34,$A$35:$H$35,0))*고양시_Modal_split!D$3 * 0.01</f>
        <v>4.1937598379441429E-2</v>
      </c>
      <c r="BS42" s="207">
        <f>INDEX($A$35:$H$42,MATCH($L42,$B$35:$B$42,0),MATCH($BQ$34,$A$35:$H$35,0))*고양시_Modal_split!E$3 * 0.01</f>
        <v>5.0738876202215963E-3</v>
      </c>
      <c r="BT42" s="207">
        <f>INDEX($A$35:$H$42,MATCH($L42,$B$35:$B$42,0),MATCH($BQ$34,$A$35:$H$35,0))*고양시_Modal_split!F$3 * 0.01</f>
        <v>8.1770737218685493E-3</v>
      </c>
      <c r="BU42" s="207">
        <f>INDEX($A$35:$H$42,MATCH($L42,$B$35:$B$42,0),MATCH($BQ$34,$A$35:$H$35,0))*고양시_Modal_split!G$3 * 0.01</f>
        <v>8.2038253261930915E-4</v>
      </c>
      <c r="BV42" s="207">
        <f>INDEX($A$35:$H$42,MATCH($L42,$B$35:$B$42,0),MATCH($BQ$34,$A$35:$H$35,0))*고양시_Modal_split!H$3 * 0.01</f>
        <v>8.9172014415142307E-6</v>
      </c>
      <c r="BW42" s="207">
        <f>INDEX($A$35:$H$42,MATCH($L42,$B$35:$B$42,0),MATCH($BQ$34,$A$35:$H$35,0))*고양시_Modal_split!I$3 * 0.01</f>
        <v>2.4789820007409557E-3</v>
      </c>
      <c r="BX42" s="207">
        <f>INDEX($A$35:$H$42,MATCH($L42,$B$35:$B$42,0),MATCH($BQ$34,$A$35:$H$35,0))*고양시_Modal_split!J$3 * 0.01</f>
        <v>2.7143961187969318E-2</v>
      </c>
      <c r="BY42" s="207">
        <f>INDEX($A$35:$H$42,MATCH($L42,$B$35:$B$42,0),MATCH($BQ$34,$A$35:$H$35,0))*고양시_Modal_split!K$3 * 0.01</f>
        <v>1.3375802162271346E-4</v>
      </c>
      <c r="BZ42" s="207">
        <f>INDEX($A$35:$H$42,MATCH($L42,$B$35:$B$42,0),MATCH($BQ$34,$A$35:$H$35,0))*고양시_Modal_split!L$3 * 0.01</f>
        <v>2.6929948353372974E-3</v>
      </c>
      <c r="CA42" s="207">
        <f>INDEX($A$35:$H$42,MATCH($L42,$B$35:$B$42,0),MATCH($BQ$34,$A$35:$H$35,0))*고양시_Modal_split!M$3 * 0.01</f>
        <v>2.0509563315482729E-4</v>
      </c>
      <c r="CB42" s="207">
        <f>INDEX($A$35:$H$42,MATCH($L42,$B$35:$B$42,0),MATCH($BQ$34,$A$35:$H$35,0))*고양시_Modal_split!N$3 * 0.01</f>
        <v>8.9172014415142317E-5</v>
      </c>
      <c r="CC42" s="207">
        <f>INDEX($A$35:$H$42,MATCH($L42,$B$35:$B$42,0),MATCH($BQ$34,$A$35:$H$35,0))*고양시_Modal_split!O$3 * 0.01</f>
        <v>1.6050962594725614E-4</v>
      </c>
      <c r="CD42" s="207">
        <f>INDEX($A$35:$H$42,MATCH($L42,$B$35:$B$42,0),MATCH($BQ$34,$A$35:$H$35,0))*고양시_Modal_split!P$3 * 0.01</f>
        <v>8.9172014415142303E-2</v>
      </c>
      <c r="CE42" s="304">
        <f t="shared" si="10"/>
        <v>0.8602193432473827</v>
      </c>
      <c r="CF42" s="304">
        <f t="shared" si="5"/>
        <v>144.48612754615863</v>
      </c>
      <c r="CG42" s="304">
        <f t="shared" si="5"/>
        <v>17.480885939562882</v>
      </c>
      <c r="CH42" s="304">
        <f t="shared" si="5"/>
        <v>28.172183491351788</v>
      </c>
      <c r="CI42" s="304">
        <f t="shared" si="5"/>
        <v>2.8264349849556862</v>
      </c>
      <c r="CJ42" s="304">
        <f t="shared" si="5"/>
        <v>3.0722119401692245E-2</v>
      </c>
      <c r="CK42" s="304">
        <f t="shared" si="5"/>
        <v>8.5407491936704432</v>
      </c>
      <c r="CL42" s="304">
        <f t="shared" si="5"/>
        <v>93.518131458751199</v>
      </c>
      <c r="CM42" s="304">
        <f t="shared" si="5"/>
        <v>0.46083179102538352</v>
      </c>
      <c r="CN42" s="304">
        <f t="shared" si="5"/>
        <v>9.2780800593110566</v>
      </c>
      <c r="CO42" s="304">
        <f t="shared" si="5"/>
        <v>0.70660874623892156</v>
      </c>
      <c r="CP42" s="304">
        <f t="shared" si="5"/>
        <v>0.30722119401692244</v>
      </c>
      <c r="CQ42" s="304">
        <f t="shared" si="5"/>
        <v>0.55299814923046042</v>
      </c>
      <c r="CR42" s="304">
        <f t="shared" si="5"/>
        <v>307.22119401692242</v>
      </c>
      <c r="CS42" s="305">
        <f t="shared" si="11"/>
        <v>0</v>
      </c>
      <c r="CV42" s="267"/>
      <c r="CW42" s="267" t="s">
        <v>722</v>
      </c>
      <c r="CX42" s="267">
        <f>INDEX($M$34:$Z$42,MATCH($CW42,$L$34:$L$42,0),MATCH(CX$35,$M$35:$Z$35,0))/INDEX(고양시_재차인원!$D$4:$H$35,MATCH("고양시",고양시_재차인원!$B$4:$B$35,0),MATCH($CX$34,고양시_재차인원!$D$4:$H$4,0))</f>
        <v>14.138521218363142</v>
      </c>
      <c r="CY42" s="267">
        <f>INDEX($M$34:$Z$42,MATCH($CW42,$L$34:$L$42,0),MATCH(CY$35,$M$35:$Z$35,0))/INDEX(고양시_재차인원!$K$4:$O$20,MATCH("경기도",고양시_재차인원!$K$4:$K$20,0),MATCH(CY$35,고양시_재차인원!$K$4:$O$4,0))</f>
        <v>1.1695138437177898E-4</v>
      </c>
      <c r="CZ42" s="267">
        <f>INDEX($M$34:$Z$42,MATCH($CW42,$L$34:$L$42,0),MATCH(CZ$35,$M$35:$Z$35,0))/INDEX(고양시_재차인원!$K$4:$O$20,MATCH("경기도",고양시_재차인원!$K$4:$K$20,0),MATCH(CZ$35,고양시_재차인원!$K$4:$O$4,0))</f>
        <v>3.2512484855354559E-2</v>
      </c>
      <c r="DA42" s="267">
        <f>INDEX($M$34:$Z$42,MATCH($CW42,$L$34:$L$42,0),MATCH(DA$35,$M$35:$Z$35,0))/INDEX(고양시_재차인원!$D$4:$H$35,MATCH("고양시",고양시_재차인원!$B$4:$B$35,0),MATCH($CX$34,고양시_재차인원!$D$4:$H$4,0))</f>
        <v>0.90789568529569831</v>
      </c>
      <c r="DB42" s="267">
        <f>INDEX($AA$34:$AN$42,MATCH($CW42,$L$34:$L$42,0),MATCH(DB$35,$AA$35:$AN$35,0))/INDEX(고양시_재차인원!$D$4:$H$35,MATCH("고양시",고양시_재차인원!$B$4:$B$35,0),MATCH($DB$34,고양시_재차인원!$D$4:$H$4,0))</f>
        <v>87.330630918223662</v>
      </c>
      <c r="DC42" s="267">
        <f>INDEX($AA$34:$AN$42,MATCH($CW42,$L$34:$L$42,0),MATCH(DC$35,$AA$35:$AN$35,0))/INDEX(고양시_재차인원!$K$4:$O$20,MATCH("경기도",고양시_재차인원!$K$4:$K$20,0),MATCH(DC$35,고양시_재차인원!$K$4:$O$4,0))</f>
        <v>9.0942956082214687E-4</v>
      </c>
      <c r="DD42" s="267">
        <f>INDEX($AA$34:$AN$42,MATCH($CW42,$L$34:$L$42,0),MATCH(DD$35,$AA$35:$AN$35,0))/INDEX(고양시_재차인원!$K$4:$O$20,MATCH("경기도",고양시_재차인원!$K$4:$K$20,0),MATCH(DD$35,고양시_재차인원!$K$4:$O$4,0))</f>
        <v>0.25282141790855678</v>
      </c>
      <c r="DE42" s="267">
        <f>INDEX($AA$34:$AN$42,MATCH($CW42,$L$34:$L$42,0),MATCH(DE$35,$AA$35:$AN$35,0))/INDEX(고양시_재차인원!$D$4:$H$35,MATCH("고양시",고양시_재차인원!$B$4:$B$35,0),MATCH($DB$34,고양시_재차인원!$D$4:$H$4,0))</f>
        <v>5.6078780644915041</v>
      </c>
      <c r="DF42" s="267">
        <f>INDEX($AO$34:$BB$42,MATCH($CW42,$L$34:$L$42,0),MATCH(DF$35,$AO$35:$BB$35,0))/INDEX(고양시_재차인원!$D$4:$H$35,MATCH("고양시",고양시_재차인원!$B$4:$B$35,0),MATCH($DF$34,고양시_재차인원!$D$4:$H$4,0))</f>
        <v>4.1985039101590154</v>
      </c>
      <c r="DG42" s="267">
        <f>INDEX($AO$34:$BB$42,MATCH($CW42,$L$34:$L$42,0),MATCH(DG$35,$AO$35:$BB$35,0))/INDEX(고양시_재차인원!$K$4:$O$20,MATCH("경기도",고양시_재차인원!$K$4:$K$20,0),MATCH(DG$35,고양시_재차인원!$K$4:$O$4,0))</f>
        <v>4.0310786403265537E-5</v>
      </c>
      <c r="DH42" s="267">
        <f>INDEX($AO$34:$BB$42,MATCH($CW42,$L$34:$L$42,0),MATCH(DH$35,$AO$35:$BB$35,0))/INDEX(고양시_재차인원!$K$4:$O$20,MATCH("경기도",고양시_재차인원!$K$4:$K$20,0),MATCH(DH$35,고양시_재차인원!$K$4:$O$4,0))</f>
        <v>1.1206398620107817E-2</v>
      </c>
      <c r="DI42" s="267">
        <f>INDEX($AO$34:$BB$42,MATCH($CW42,$L$34:$L$42,0),MATCH(DI$35,$AO$35:$BB$35,0))/INDEX(고양시_재차인원!$D$4:$H$35,MATCH("고양시",고양시_재차인원!$B$4:$B$35,0),MATCH($DF$34,고양시_재차인원!$D$4:$H$4,0))</f>
        <v>0.26960412095854192</v>
      </c>
      <c r="DJ42" s="267">
        <f>INDEX($BC$34:$BP$42,MATCH($CW42,$L$34:$L$42,0),MATCH(DJ$35,$BC$35:$BP$35,0))/INDEX(고양시_재차인원!$D$4:$H$35,MATCH("고양시",고양시_재차인원!$B$4:$B$35,0),MATCH($DJ$34,고양시_재차인원!$D$4:$H$4,0))</f>
        <v>1.0883459787052239E-2</v>
      </c>
      <c r="DK42" s="267">
        <f>INDEX($BC$34:$BP$42,MATCH($CW42,$L$34:$L$42,0),MATCH(DK$35,$BC$35:$BP$35,0))/INDEX(고양시_재차인원!$K$4:$O$20,MATCH("경기도",고양시_재차인원!$K$4:$K$20,0),MATCH(DK$35,고양시_재차인원!$K$4:$O$4,0))</f>
        <v>1.0931738685631292E-7</v>
      </c>
      <c r="DL42" s="267">
        <f>INDEX($BC$34:$BP$42,MATCH($CW42,$L$34:$L$42,0),MATCH(DL$35,$BC$35:$BP$35,0))/INDEX(고양시_재차인원!$K$4:$O$20,MATCH("경기도",고양시_재차인원!$K$4:$K$20,0),MATCH(DL$35,고양시_재차인원!$K$4:$O$4,0))</f>
        <v>3.0390233546054985E-5</v>
      </c>
      <c r="DM42" s="267">
        <f>INDEX($BC$34:$BP$42,MATCH($CW42,$L$34:$L$42,0),MATCH(DM$35,$BC$35:$BP$35,0))/INDEX(고양시_재차인원!$D$4:$H$35,MATCH("고양시",고양시_재차인원!$B$4:$B$35,0),MATCH($DJ$34,고양시_재차인원!$D$4:$H$4,0))</f>
        <v>6.9887409221555956E-4</v>
      </c>
      <c r="DN42" s="267">
        <f>INDEX($BQ$34:$CD$42,MATCH($CW42,$L$34:$L$42,0),MATCH(DN$35,$BQ$35:$CD$35,0))/INDEX(고양시_재차인원!$D$4:$H$35,MATCH("고양시",고양시_재차인원!$B$4:$B$35,0),MATCH($DN$34,고양시_재차인원!$D$4:$H$4,0))</f>
        <v>3.3283808237651931E-2</v>
      </c>
      <c r="DO42" s="267">
        <f>INDEX($BQ$34:$CD$42,MATCH($CW42,$L$34:$L$42,0),MATCH(DO$35,$BQ$35:$CD$35,0))/INDEX(고양시_재차인원!$K$4:$O$20,MATCH("경기도",고양시_재차인원!$K$4:$K$20,0),MATCH(DO$35,고양시_재차인원!$K$4:$O$4,0))</f>
        <v>3.0973259609288749E-7</v>
      </c>
      <c r="DP42" s="267">
        <f>INDEX($BQ$34:$CD$42,MATCH($CW42,$L$34:$L$42,0),MATCH(DP$35,$BQ$35:$CD$35,0))/INDEX(고양시_재차인원!$K$4:$O$20,MATCH("경기도",고양시_재차인원!$K$4:$K$20,0),MATCH(DP$35,고양시_재차인원!$K$4:$O$4,0))</f>
        <v>8.6105661713822709E-5</v>
      </c>
      <c r="DQ42" s="267">
        <f>INDEX($BQ$34:$CD$42,MATCH($CW42,$L$34:$L$42,0),MATCH(DQ$35,$BQ$35:$CD$35,0))/INDEX(고양시_재차인원!$D$4:$H$35,MATCH("고양시",고양시_재차인원!$B$4:$B$35,0),MATCH($DN$34,고양시_재차인원!$D$4:$H$4,0))</f>
        <v>2.1372974883629345E-3</v>
      </c>
      <c r="DR42" s="270">
        <f t="shared" si="12"/>
        <v>105.71182331477053</v>
      </c>
      <c r="DS42" s="270">
        <f t="shared" si="6"/>
        <v>1.0671107815801407E-3</v>
      </c>
      <c r="DT42" s="270">
        <f t="shared" si="6"/>
        <v>0.29665679727927902</v>
      </c>
      <c r="DU42" s="270">
        <f t="shared" si="6"/>
        <v>6.7882140423263229</v>
      </c>
      <c r="DW42" s="278"/>
      <c r="DX42" s="278" t="s">
        <v>722</v>
      </c>
      <c r="DY42" s="281">
        <f t="shared" si="13"/>
        <v>112.50003735709684</v>
      </c>
      <c r="DZ42" s="281">
        <f t="shared" si="14"/>
        <v>0.29772390806085913</v>
      </c>
      <c r="EB42" s="278"/>
      <c r="EC42" s="278" t="s">
        <v>301</v>
      </c>
      <c r="ED42" s="281">
        <f t="shared" si="15"/>
        <v>112.50003735709684</v>
      </c>
      <c r="EE42" s="281">
        <f t="shared" si="7"/>
        <v>0.29772390806085913</v>
      </c>
    </row>
    <row r="43" spans="1:157">
      <c r="I43" s="56"/>
      <c r="J43" s="56"/>
      <c r="Z43">
        <f>Z42/H42</f>
        <v>0.10959629158521056</v>
      </c>
      <c r="DW43" s="278"/>
      <c r="DX43" s="278" t="s">
        <v>26</v>
      </c>
      <c r="DY43" s="281">
        <f>SUM(DY36:DY42)</f>
        <v>820.50027245775959</v>
      </c>
      <c r="DZ43" s="281">
        <f>SUM(DZ36:DZ42)</f>
        <v>2.1713997027905325</v>
      </c>
      <c r="EC43" s="278" t="s">
        <v>26</v>
      </c>
      <c r="ED43" s="281">
        <f>DY43</f>
        <v>820.50027245775959</v>
      </c>
      <c r="EE43" s="281">
        <f>DZ43</f>
        <v>2.1713997027905325</v>
      </c>
    </row>
    <row r="44" spans="1:157">
      <c r="A44" s="205"/>
      <c r="B44" s="205"/>
      <c r="C44" s="201"/>
      <c r="D44" s="201"/>
      <c r="E44" s="201"/>
      <c r="F44" s="201"/>
      <c r="G44" s="201"/>
      <c r="H44" s="201"/>
      <c r="I44" s="56"/>
      <c r="J44" s="56"/>
      <c r="ED44" s="230">
        <f>SUM(ED36:ED42)-ED43</f>
        <v>0</v>
      </c>
      <c r="EE44" s="230" t="b">
        <f>SUM(EE36:EE42)=EE43</f>
        <v>1</v>
      </c>
    </row>
    <row r="45" spans="1:157">
      <c r="A45" s="205"/>
      <c r="B45" s="205"/>
      <c r="C45" s="201"/>
      <c r="D45" s="201"/>
      <c r="E45" s="201"/>
      <c r="F45" s="201"/>
      <c r="G45" s="201"/>
      <c r="H45" s="201"/>
      <c r="I45" s="56"/>
      <c r="J45" s="56"/>
    </row>
    <row r="46" spans="1:157">
      <c r="A46" s="205"/>
      <c r="B46" s="205"/>
      <c r="C46" s="201"/>
      <c r="D46" s="201"/>
      <c r="E46" s="201"/>
      <c r="F46" s="201"/>
      <c r="G46" s="201"/>
      <c r="H46" s="201"/>
      <c r="I46" s="56"/>
      <c r="J46" s="56"/>
    </row>
    <row r="47" spans="1:157">
      <c r="A47" s="205"/>
      <c r="B47" s="205"/>
      <c r="C47" s="201"/>
      <c r="D47" s="201"/>
      <c r="E47" s="201"/>
      <c r="F47" s="201"/>
      <c r="G47" s="201"/>
      <c r="H47" s="201"/>
      <c r="I47" s="56"/>
      <c r="J47" s="56"/>
    </row>
    <row r="48" spans="1:157">
      <c r="A48" s="205"/>
      <c r="B48" s="205"/>
      <c r="C48" s="201"/>
      <c r="D48" s="201"/>
      <c r="E48" s="201"/>
      <c r="F48" s="201"/>
      <c r="G48" s="201"/>
      <c r="H48" s="352">
        <f>SUM(H36:H47)</f>
        <v>2240.6665750300872</v>
      </c>
      <c r="I48" s="97" t="b">
        <f>H48=SUM(D8,D9,D10,D11,D12,D13,D14)  * (1+KTDB_발생량도착량_증가율!$C$8)</f>
        <v>0</v>
      </c>
      <c r="J48" s="230">
        <f>CR48</f>
        <v>0</v>
      </c>
    </row>
    <row r="72" spans="1:164">
      <c r="FA72" s="277"/>
    </row>
    <row r="73" spans="1:164">
      <c r="FA73" s="277"/>
    </row>
    <row r="74" spans="1:164">
      <c r="FA74" s="277"/>
    </row>
    <row r="75" spans="1:164" s="227" customFormat="1" ht="19.5">
      <c r="A75" s="329">
        <v>2025</v>
      </c>
      <c r="B75" s="282"/>
      <c r="C75" s="283"/>
      <c r="D75" s="284"/>
      <c r="E75" s="284"/>
      <c r="F75" s="284"/>
      <c r="G75" s="284"/>
      <c r="H75" s="284"/>
      <c r="I75" s="284"/>
      <c r="K75" s="282"/>
      <c r="L75" s="282"/>
      <c r="M75" s="283"/>
      <c r="N75" s="284"/>
      <c r="O75" s="284"/>
      <c r="P75" s="284"/>
      <c r="Q75" s="284"/>
      <c r="R75" s="284"/>
      <c r="S75" s="284"/>
    </row>
    <row r="76" spans="1:164" ht="23.5" thickBot="1">
      <c r="A76" s="32" t="s">
        <v>641</v>
      </c>
      <c r="C76" t="s">
        <v>463</v>
      </c>
      <c r="D76" t="s">
        <v>467</v>
      </c>
      <c r="E76" t="s">
        <v>470</v>
      </c>
      <c r="F76" t="s">
        <v>465</v>
      </c>
      <c r="G76" t="s">
        <v>466</v>
      </c>
      <c r="H76" t="s">
        <v>21</v>
      </c>
      <c r="K76" s="32" t="s">
        <v>471</v>
      </c>
      <c r="CV76" s="32" t="s">
        <v>492</v>
      </c>
      <c r="CY76" t="s">
        <v>478</v>
      </c>
      <c r="CZ76" t="s">
        <v>479</v>
      </c>
      <c r="EL76" s="353" t="s">
        <v>853</v>
      </c>
      <c r="EU76" s="353" t="s">
        <v>745</v>
      </c>
    </row>
    <row r="77" spans="1:164">
      <c r="A77" t="s">
        <v>462</v>
      </c>
      <c r="C77" t="s">
        <v>427</v>
      </c>
      <c r="D77" t="s">
        <v>428</v>
      </c>
      <c r="E77" t="s">
        <v>429</v>
      </c>
      <c r="F77" t="s">
        <v>430</v>
      </c>
      <c r="G77" t="s">
        <v>431</v>
      </c>
      <c r="H77" t="s">
        <v>457</v>
      </c>
      <c r="K77" s="159" t="s">
        <v>482</v>
      </c>
      <c r="L77" s="159"/>
      <c r="M77" s="443" t="s">
        <v>463</v>
      </c>
      <c r="N77" s="444"/>
      <c r="O77" s="444"/>
      <c r="P77" s="444"/>
      <c r="Q77" s="444"/>
      <c r="R77" s="444"/>
      <c r="S77" s="444"/>
      <c r="T77" s="444"/>
      <c r="U77" s="444"/>
      <c r="V77" s="444"/>
      <c r="W77" s="444"/>
      <c r="X77" s="444"/>
      <c r="Y77" s="444"/>
      <c r="Z77" s="445"/>
      <c r="AA77" s="443" t="s">
        <v>467</v>
      </c>
      <c r="AB77" s="444"/>
      <c r="AC77" s="444"/>
      <c r="AD77" s="444"/>
      <c r="AE77" s="444"/>
      <c r="AF77" s="444"/>
      <c r="AG77" s="444"/>
      <c r="AH77" s="444"/>
      <c r="AI77" s="444"/>
      <c r="AJ77" s="444"/>
      <c r="AK77" s="444"/>
      <c r="AL77" s="444"/>
      <c r="AM77" s="444"/>
      <c r="AN77" s="445"/>
      <c r="AO77" s="443" t="s">
        <v>464</v>
      </c>
      <c r="AP77" s="444"/>
      <c r="AQ77" s="444"/>
      <c r="AR77" s="444"/>
      <c r="AS77" s="444"/>
      <c r="AT77" s="444"/>
      <c r="AU77" s="444"/>
      <c r="AV77" s="444"/>
      <c r="AW77" s="444"/>
      <c r="AX77" s="444"/>
      <c r="AY77" s="444"/>
      <c r="AZ77" s="444"/>
      <c r="BA77" s="444"/>
      <c r="BB77" s="445"/>
      <c r="BC77" s="443" t="s">
        <v>465</v>
      </c>
      <c r="BD77" s="444"/>
      <c r="BE77" s="444"/>
      <c r="BF77" s="444"/>
      <c r="BG77" s="444"/>
      <c r="BH77" s="444"/>
      <c r="BI77" s="444"/>
      <c r="BJ77" s="444"/>
      <c r="BK77" s="444"/>
      <c r="BL77" s="444"/>
      <c r="BM77" s="444"/>
      <c r="BN77" s="444"/>
      <c r="BO77" s="444"/>
      <c r="BP77" s="445"/>
      <c r="BQ77" s="443" t="s">
        <v>466</v>
      </c>
      <c r="BR77" s="444"/>
      <c r="BS77" s="444"/>
      <c r="BT77" s="444"/>
      <c r="BU77" s="444"/>
      <c r="BV77" s="444"/>
      <c r="BW77" s="444"/>
      <c r="BX77" s="444"/>
      <c r="BY77" s="444"/>
      <c r="BZ77" s="444"/>
      <c r="CA77" s="444"/>
      <c r="CB77" s="444"/>
      <c r="CC77" s="444"/>
      <c r="CD77" s="445"/>
      <c r="CE77" s="443" t="s">
        <v>21</v>
      </c>
      <c r="CF77" s="444"/>
      <c r="CG77" s="444"/>
      <c r="CH77" s="444"/>
      <c r="CI77" s="444"/>
      <c r="CJ77" s="444"/>
      <c r="CK77" s="444"/>
      <c r="CL77" s="444"/>
      <c r="CM77" s="444"/>
      <c r="CN77" s="444"/>
      <c r="CO77" s="444"/>
      <c r="CP77" s="444"/>
      <c r="CQ77" s="444"/>
      <c r="CR77" s="445"/>
      <c r="CV77" s="263" t="s">
        <v>482</v>
      </c>
      <c r="CW77" s="263"/>
      <c r="CX77" s="446" t="s">
        <v>554</v>
      </c>
      <c r="CY77" s="439"/>
      <c r="CZ77" s="439"/>
      <c r="DA77" s="440"/>
      <c r="DB77" s="438" t="s">
        <v>553</v>
      </c>
      <c r="DC77" s="439"/>
      <c r="DD77" s="439"/>
      <c r="DE77" s="440"/>
      <c r="DF77" s="438" t="s">
        <v>464</v>
      </c>
      <c r="DG77" s="439"/>
      <c r="DH77" s="439"/>
      <c r="DI77" s="440"/>
      <c r="DJ77" s="438" t="s">
        <v>465</v>
      </c>
      <c r="DK77" s="439"/>
      <c r="DL77" s="439"/>
      <c r="DM77" s="440"/>
      <c r="DN77" s="438" t="s">
        <v>466</v>
      </c>
      <c r="DO77" s="439"/>
      <c r="DP77" s="439"/>
      <c r="DQ77" s="440"/>
      <c r="DR77" s="438" t="s">
        <v>21</v>
      </c>
      <c r="DS77" s="439"/>
      <c r="DT77" s="439"/>
      <c r="DU77" s="441"/>
      <c r="DW77" s="278"/>
      <c r="DX77" s="278"/>
      <c r="DY77" s="442" t="s">
        <v>588</v>
      </c>
      <c r="DZ77" s="442"/>
      <c r="EB77" s="278"/>
      <c r="EC77" s="278"/>
      <c r="ED77" s="442" t="s">
        <v>588</v>
      </c>
      <c r="EE77" s="442"/>
      <c r="EI77" t="s">
        <v>599</v>
      </c>
    </row>
    <row r="78" spans="1:164">
      <c r="A78" s="199"/>
      <c r="B78" s="199"/>
      <c r="C78" s="202" t="s">
        <v>463</v>
      </c>
      <c r="D78" s="202" t="s">
        <v>467</v>
      </c>
      <c r="E78" s="202" t="s">
        <v>464</v>
      </c>
      <c r="F78" s="202" t="s">
        <v>465</v>
      </c>
      <c r="G78" s="202" t="s">
        <v>558</v>
      </c>
      <c r="H78" s="202" t="s">
        <v>21</v>
      </c>
      <c r="K78" s="159"/>
      <c r="L78" s="159"/>
      <c r="M78" s="211" t="s">
        <v>472</v>
      </c>
      <c r="N78" s="160" t="s">
        <v>156</v>
      </c>
      <c r="O78" s="160" t="s">
        <v>475</v>
      </c>
      <c r="P78" s="160" t="s">
        <v>476</v>
      </c>
      <c r="Q78" s="160" t="s">
        <v>477</v>
      </c>
      <c r="R78" s="160" t="s">
        <v>478</v>
      </c>
      <c r="S78" s="160" t="s">
        <v>479</v>
      </c>
      <c r="T78" s="160" t="s">
        <v>480</v>
      </c>
      <c r="U78" s="160" t="s">
        <v>449</v>
      </c>
      <c r="V78" s="160" t="s">
        <v>157</v>
      </c>
      <c r="W78" s="160" t="s">
        <v>473</v>
      </c>
      <c r="X78" s="160" t="s">
        <v>474</v>
      </c>
      <c r="Y78" s="160" t="s">
        <v>46</v>
      </c>
      <c r="Z78" s="212" t="s">
        <v>11</v>
      </c>
      <c r="AA78" s="211" t="s">
        <v>472</v>
      </c>
      <c r="AB78" s="160" t="s">
        <v>156</v>
      </c>
      <c r="AC78" s="160" t="s">
        <v>475</v>
      </c>
      <c r="AD78" s="160" t="s">
        <v>476</v>
      </c>
      <c r="AE78" s="160" t="s">
        <v>477</v>
      </c>
      <c r="AF78" s="160" t="s">
        <v>478</v>
      </c>
      <c r="AG78" s="160" t="s">
        <v>479</v>
      </c>
      <c r="AH78" s="160" t="s">
        <v>480</v>
      </c>
      <c r="AI78" s="160" t="s">
        <v>449</v>
      </c>
      <c r="AJ78" s="160" t="s">
        <v>157</v>
      </c>
      <c r="AK78" s="160" t="s">
        <v>473</v>
      </c>
      <c r="AL78" s="160" t="s">
        <v>474</v>
      </c>
      <c r="AM78" s="160" t="s">
        <v>46</v>
      </c>
      <c r="AN78" s="212" t="s">
        <v>11</v>
      </c>
      <c r="AO78" s="211" t="s">
        <v>472</v>
      </c>
      <c r="AP78" s="160" t="s">
        <v>156</v>
      </c>
      <c r="AQ78" s="160" t="s">
        <v>475</v>
      </c>
      <c r="AR78" s="160" t="s">
        <v>476</v>
      </c>
      <c r="AS78" s="160" t="s">
        <v>477</v>
      </c>
      <c r="AT78" s="160" t="s">
        <v>478</v>
      </c>
      <c r="AU78" s="160" t="s">
        <v>479</v>
      </c>
      <c r="AV78" s="160" t="s">
        <v>480</v>
      </c>
      <c r="AW78" s="160" t="s">
        <v>449</v>
      </c>
      <c r="AX78" s="160" t="s">
        <v>157</v>
      </c>
      <c r="AY78" s="160" t="s">
        <v>473</v>
      </c>
      <c r="AZ78" s="160" t="s">
        <v>474</v>
      </c>
      <c r="BA78" s="160" t="s">
        <v>46</v>
      </c>
      <c r="BB78" s="212" t="s">
        <v>11</v>
      </c>
      <c r="BC78" s="211" t="s">
        <v>472</v>
      </c>
      <c r="BD78" s="160" t="s">
        <v>156</v>
      </c>
      <c r="BE78" s="160" t="s">
        <v>475</v>
      </c>
      <c r="BF78" s="160" t="s">
        <v>476</v>
      </c>
      <c r="BG78" s="160" t="s">
        <v>477</v>
      </c>
      <c r="BH78" s="160" t="s">
        <v>478</v>
      </c>
      <c r="BI78" s="160" t="s">
        <v>479</v>
      </c>
      <c r="BJ78" s="160" t="s">
        <v>480</v>
      </c>
      <c r="BK78" s="160" t="s">
        <v>449</v>
      </c>
      <c r="BL78" s="160" t="s">
        <v>157</v>
      </c>
      <c r="BM78" s="160" t="s">
        <v>473</v>
      </c>
      <c r="BN78" s="160" t="s">
        <v>474</v>
      </c>
      <c r="BO78" s="160" t="s">
        <v>46</v>
      </c>
      <c r="BP78" s="212" t="s">
        <v>11</v>
      </c>
      <c r="BQ78" s="211" t="s">
        <v>472</v>
      </c>
      <c r="BR78" s="160" t="s">
        <v>156</v>
      </c>
      <c r="BS78" s="160" t="s">
        <v>475</v>
      </c>
      <c r="BT78" s="160" t="s">
        <v>476</v>
      </c>
      <c r="BU78" s="160" t="s">
        <v>477</v>
      </c>
      <c r="BV78" s="160" t="s">
        <v>478</v>
      </c>
      <c r="BW78" s="160" t="s">
        <v>479</v>
      </c>
      <c r="BX78" s="160" t="s">
        <v>480</v>
      </c>
      <c r="BY78" s="160" t="s">
        <v>449</v>
      </c>
      <c r="BZ78" s="160" t="s">
        <v>157</v>
      </c>
      <c r="CA78" s="160" t="s">
        <v>473</v>
      </c>
      <c r="CB78" s="160" t="s">
        <v>474</v>
      </c>
      <c r="CC78" s="160" t="s">
        <v>46</v>
      </c>
      <c r="CD78" s="212" t="s">
        <v>11</v>
      </c>
      <c r="CE78" s="211" t="s">
        <v>472</v>
      </c>
      <c r="CF78" s="160" t="s">
        <v>156</v>
      </c>
      <c r="CG78" s="160" t="s">
        <v>475</v>
      </c>
      <c r="CH78" s="160" t="s">
        <v>476</v>
      </c>
      <c r="CI78" s="160" t="s">
        <v>477</v>
      </c>
      <c r="CJ78" s="160" t="s">
        <v>478</v>
      </c>
      <c r="CK78" s="160" t="s">
        <v>479</v>
      </c>
      <c r="CL78" s="160" t="s">
        <v>480</v>
      </c>
      <c r="CM78" s="160" t="s">
        <v>449</v>
      </c>
      <c r="CN78" s="160" t="s">
        <v>157</v>
      </c>
      <c r="CO78" s="160" t="s">
        <v>473</v>
      </c>
      <c r="CP78" s="160" t="s">
        <v>474</v>
      </c>
      <c r="CQ78" s="160" t="s">
        <v>46</v>
      </c>
      <c r="CR78" s="212" t="s">
        <v>11</v>
      </c>
      <c r="CV78" s="263"/>
      <c r="CW78" s="263"/>
      <c r="CX78" s="264" t="s">
        <v>156</v>
      </c>
      <c r="CY78" s="264" t="s">
        <v>478</v>
      </c>
      <c r="CZ78" s="264" t="s">
        <v>479</v>
      </c>
      <c r="DA78" s="264" t="s">
        <v>157</v>
      </c>
      <c r="DB78" s="264" t="s">
        <v>156</v>
      </c>
      <c r="DC78" s="264" t="s">
        <v>478</v>
      </c>
      <c r="DD78" s="264" t="s">
        <v>479</v>
      </c>
      <c r="DE78" s="264" t="s">
        <v>157</v>
      </c>
      <c r="DF78" s="264" t="s">
        <v>156</v>
      </c>
      <c r="DG78" s="264" t="s">
        <v>478</v>
      </c>
      <c r="DH78" s="264" t="s">
        <v>479</v>
      </c>
      <c r="DI78" s="264" t="s">
        <v>157</v>
      </c>
      <c r="DJ78" s="264" t="s">
        <v>156</v>
      </c>
      <c r="DK78" s="264" t="s">
        <v>478</v>
      </c>
      <c r="DL78" s="264" t="s">
        <v>479</v>
      </c>
      <c r="DM78" s="264" t="s">
        <v>157</v>
      </c>
      <c r="DN78" s="264" t="s">
        <v>156</v>
      </c>
      <c r="DO78" s="264" t="s">
        <v>478</v>
      </c>
      <c r="DP78" s="264" t="s">
        <v>479</v>
      </c>
      <c r="DQ78" s="264" t="s">
        <v>157</v>
      </c>
      <c r="DR78" s="264" t="s">
        <v>156</v>
      </c>
      <c r="DS78" s="264" t="s">
        <v>478</v>
      </c>
      <c r="DT78" s="264" t="s">
        <v>479</v>
      </c>
      <c r="DU78" s="264" t="s">
        <v>157</v>
      </c>
      <c r="DW78" s="278"/>
      <c r="DX78" s="278"/>
      <c r="DY78" s="280" t="s">
        <v>585</v>
      </c>
      <c r="DZ78" s="280" t="s">
        <v>259</v>
      </c>
      <c r="EB78" s="278"/>
      <c r="EC78" s="278"/>
      <c r="ED78" s="280" t="s">
        <v>585</v>
      </c>
      <c r="EE78" s="280" t="s">
        <v>259</v>
      </c>
      <c r="EL78" s="420" t="s">
        <v>564</v>
      </c>
      <c r="EM78" s="420" t="s">
        <v>565</v>
      </c>
      <c r="EN78" s="420" t="s">
        <v>566</v>
      </c>
      <c r="EO78" s="420" t="s">
        <v>562</v>
      </c>
      <c r="EP78" s="421" t="s">
        <v>597</v>
      </c>
      <c r="EQ78" s="421" t="s">
        <v>585</v>
      </c>
      <c r="ER78" s="421" t="s">
        <v>259</v>
      </c>
      <c r="ES78" s="424" t="s">
        <v>867</v>
      </c>
      <c r="EU78" s="306" t="s">
        <v>564</v>
      </c>
      <c r="EV78" s="306" t="s">
        <v>565</v>
      </c>
      <c r="EW78" s="306" t="s">
        <v>566</v>
      </c>
      <c r="EX78" s="306" t="s">
        <v>562</v>
      </c>
      <c r="EY78" s="307" t="s">
        <v>597</v>
      </c>
      <c r="EZ78" s="307" t="s">
        <v>585</v>
      </c>
      <c r="FA78" s="307" t="s">
        <v>259</v>
      </c>
    </row>
    <row r="79" spans="1:164" ht="37.5">
      <c r="A79" s="205"/>
      <c r="B79" s="205" t="s">
        <v>710</v>
      </c>
      <c r="C79" s="400">
        <f>$D8*KTDB_TripDistribution_2035!T$12 * (1+KTDB_발생량도착량_증가율!$C$7) * (1+KTDB_발생량도착량_증가율!$D$8*5) * (1+KTDB_발생량도착량_증가율!$E$8*5)</f>
        <v>50.99351010843985</v>
      </c>
      <c r="D79" s="400">
        <f>$D8*KTDB_TripDistribution_2035!U$12 * (1+KTDB_발생량도착량_증가율!$C$7) * (1+KTDB_발생량도착량_증가율!$D$8*5) * (1+KTDB_발생량도착량_증가율!$E$8*5)</f>
        <v>369.05046499387851</v>
      </c>
      <c r="E79" s="400">
        <f>$D8*KTDB_TripDistribution_2035!V$12 * (1+KTDB_발생량도착량_증가율!$C$7) * (1+KTDB_발생량도착량_증가율!$D$8*5) * (1+KTDB_발생량도착량_증가율!$E$8*5)</f>
        <v>21.171511700089575</v>
      </c>
      <c r="F79" s="400">
        <f>$D8*KTDB_TripDistribution_2035!W$12 * (1+KTDB_발생량도착량_증가율!$C$7) * (1+KTDB_발생량도착량_증가율!$D$8*5) * (1+KTDB_발생량도착량_증가율!$E$8*5)</f>
        <v>3.3271102724079862E-2</v>
      </c>
      <c r="G79" s="400">
        <f>$D8*KTDB_TripDistribution_2035!X$12 * (1+KTDB_발생량도착량_증가율!$C$7) * (1+KTDB_발생량도착량_증가율!$D$8*5) * (1+KTDB_발생량도착량_증가율!$E$8*5)</f>
        <v>0.12569083251319099</v>
      </c>
      <c r="H79" s="400">
        <f>$D8*KTDB_TripDistribution_2035!Y$12 * (1+KTDB_발생량도착량_증가율!$C$7) * (1+KTDB_발생량도착량_증가율!$D$8*5) * (1+KTDB_발생량도착량_증가율!$E$8*5)</f>
        <v>441.37444873764531</v>
      </c>
      <c r="J79" s="230">
        <f t="shared" ref="J79:J83" si="16">CR79</f>
        <v>441.37444873764525</v>
      </c>
      <c r="K79" s="206"/>
      <c r="L79" s="206" t="s">
        <v>710</v>
      </c>
      <c r="M79" s="206">
        <f>INDEX($A$78:$H$85,MATCH($L79,$B$78:$B$85,0),MATCH($M$77,$A$78:$H$78,0))*고양시_Modal_split!C$3 * 0.01</f>
        <v>0.14278182830363156</v>
      </c>
      <c r="N79" s="206">
        <f>INDEX($A$78:$H$85,MATCH($L79,$B$78:$B$85,0),MATCH($M$77,$A$78:$H$78,0))*고양시_Modal_split!D$3 * 0.01</f>
        <v>23.982247803999261</v>
      </c>
      <c r="O79" s="206">
        <f>INDEX($A$78:$H$85,MATCH($L79,$B$78:$B$85,0),MATCH($M$77,$A$78:$H$78,0))*고양시_Modal_split!E$3 * 0.01</f>
        <v>2.9015307251702276</v>
      </c>
      <c r="P79" s="206">
        <f>INDEX($A$78:$H$85,MATCH($L79,$B$78:$B$85,0),MATCH($M$77,$A$78:$H$78,0))*고양시_Modal_split!F$3 * 0.01</f>
        <v>4.6761048769439348</v>
      </c>
      <c r="Q79" s="206">
        <f>INDEX($A$78:$H$85,MATCH($L79,$B$78:$B$85,0),MATCH($M$77,$A$78:$H$78,0))*고양시_Modal_split!G$3 * 0.01</f>
        <v>0.46914029299764659</v>
      </c>
      <c r="R79" s="206">
        <f>INDEX($A$78:$H$85,MATCH($L79,$B$78:$B$85,0),MATCH($M$77,$A$78:$H$78,0))*고양시_Modal_split!H$3 * 0.01</f>
        <v>5.0993510108439857E-3</v>
      </c>
      <c r="S79" s="206">
        <f>INDEX($A$78:$H$85,MATCH($L79,$B$78:$B$85,0),MATCH($M$77,$A$78:$H$78,0))*고양시_Modal_split!I$3 * 0.01</f>
        <v>1.4176195810146277</v>
      </c>
      <c r="T79" s="206">
        <f>INDEX($A$78:$H$85,MATCH($L79,$B$78:$B$85,0),MATCH($M$77,$A$78:$H$78,0))*고양시_Modal_split!J$3 * 0.01</f>
        <v>15.522424477009091</v>
      </c>
      <c r="U79" s="206">
        <f>INDEX($A$78:$H$85,MATCH($L79,$B$78:$B$85,0),MATCH($M$77,$A$78:$H$78,0))*고양시_Modal_split!K$3 * 0.01</f>
        <v>7.6490265162659762E-2</v>
      </c>
      <c r="V79" s="206">
        <f>INDEX($A$78:$H$85,MATCH($L79,$B$78:$B$85,0),MATCH($M$77,$A$78:$H$78,0))*고양시_Modal_split!L$3 * 0.01</f>
        <v>1.5400040052748836</v>
      </c>
      <c r="W79" s="206">
        <f>INDEX($A$78:$H$85,MATCH($L79,$B$78:$B$85,0),MATCH($M$77,$A$78:$H$78,0))*고양시_Modal_split!M$3 * 0.01</f>
        <v>0.11728507324941165</v>
      </c>
      <c r="X79" s="206">
        <f>INDEX($A$78:$H$85,MATCH($L79,$B$78:$B$85,0),MATCH($M$77,$A$78:$H$78,0))*고양시_Modal_split!N$3 * 0.01</f>
        <v>5.099351010843986E-2</v>
      </c>
      <c r="Y79" s="206">
        <f>INDEX($A$78:$H$85,MATCH($L79,$B$78:$B$85,0),MATCH($M$77,$A$78:$H$78,0))*고양시_Modal_split!O$3 * 0.01</f>
        <v>9.1788318195191732E-2</v>
      </c>
      <c r="Z79" s="209">
        <f>INDEX($A$78:$H$85,MATCH($L79,$B$78:$B$85,0),MATCH($M$77,$A$78:$H$78,0))*고양시_Modal_split!P$3 * 0.01</f>
        <v>50.99351010843985</v>
      </c>
      <c r="AA79" s="207">
        <f>INDEX($A$78:$H$85,MATCH($L79,$B$78:$B$85,0),MATCH($AA$77,$A$78:$H$78,0))*고양시_Modal_split!C$3 * 0.01</f>
        <v>1.0333413019828597</v>
      </c>
      <c r="AB79" s="207">
        <f>INDEX($A$78:$H$85,MATCH($L79,$B$78:$B$85,0),MATCH($AA$77,$A$78:$H$78,0))*고양시_Modal_split!D$3 * 0.01</f>
        <v>173.56443368662104</v>
      </c>
      <c r="AC79" s="207">
        <f>INDEX($A$78:$H$85,MATCH($L79,$B$78:$B$85,0),MATCH($AA$77,$A$78:$H$78,0))*고양시_Modal_split!E$3 * 0.01</f>
        <v>20.998971458151686</v>
      </c>
      <c r="AD79" s="207">
        <f>INDEX($A$78:$H$85,MATCH($L79,$B$78:$B$85,0),MATCH($AA$77,$A$78:$H$78,0))*고양시_Modal_split!F$3 * 0.01</f>
        <v>33.84192763993866</v>
      </c>
      <c r="AE79" s="207">
        <f>INDEX($A$78:$H$85,MATCH($L79,$B$78:$B$85,0),MATCH($AA$77,$A$78:$H$78,0))*고양시_Modal_split!G$3 * 0.01</f>
        <v>3.3952642779436819</v>
      </c>
      <c r="AF79" s="207">
        <f>INDEX($A$78:$H$85,MATCH($L79,$B$78:$B$85,0),MATCH($AA$77,$A$78:$H$78,0))*고양시_Modal_split!H$3 * 0.01</f>
        <v>3.6905046499387854E-2</v>
      </c>
      <c r="AG79" s="207">
        <f>INDEX($A$78:$H$85,MATCH($L79,$B$78:$B$85,0),MATCH($AA$77,$A$78:$H$78,0))*고양시_Modal_split!I$3 * 0.01</f>
        <v>10.259602926829821</v>
      </c>
      <c r="AH79" s="207">
        <f>INDEX($A$78:$H$85,MATCH($L79,$B$78:$B$85,0),MATCH($AA$77,$A$78:$H$78,0))*고양시_Modal_split!J$3 * 0.01</f>
        <v>112.33896154413662</v>
      </c>
      <c r="AI79" s="207">
        <f>INDEX($A$78:$H$85,MATCH($L79,$B$78:$B$85,0),MATCH($AA$77,$A$78:$H$78,0))*고양시_Modal_split!K$3 * 0.01</f>
        <v>0.55357569749081781</v>
      </c>
      <c r="AJ79" s="207">
        <f>INDEX($A$78:$H$85,MATCH($L79,$B$78:$B$85,0),MATCH($AA$77,$A$78:$H$78,0))*고양시_Modal_split!L$3 * 0.01</f>
        <v>11.145324042815131</v>
      </c>
      <c r="AK79" s="207">
        <f>INDEX($A$78:$H$85,MATCH($L79,$B$78:$B$85,0),MATCH($AA$77,$A$78:$H$78,0))*고양시_Modal_split!M$3 * 0.01</f>
        <v>0.84881606948592048</v>
      </c>
      <c r="AL79" s="207">
        <f>INDEX($A$78:$H$85,MATCH($L79,$B$78:$B$85,0),MATCH($AA$77,$A$78:$H$78,0))*고양시_Modal_split!N$3 * 0.01</f>
        <v>0.3690504649938785</v>
      </c>
      <c r="AM79" s="207">
        <f>INDEX($A$78:$H$85,MATCH($L79,$B$78:$B$85,0),MATCH($AA$77,$A$78:$H$78,0))*고양시_Modal_split!O$3 * 0.01</f>
        <v>0.66429083698898128</v>
      </c>
      <c r="AN79" s="207">
        <f>INDEX($A$78:$H$85,MATCH($L79,$B$78:$B$85,0),MATCH($AA$77,$A$78:$H$78,0))*고양시_Modal_split!P$3 * 0.01</f>
        <v>369.05046499387851</v>
      </c>
      <c r="AO79" s="303">
        <f>INDEX($A$78:$H$85,MATCH($L36,$B$78:$B$85,0),MATCH($AO$77,$A$78:$H$78,0))*고양시_Modal_split!C$3 * 0.01</f>
        <v>5.9280232760250809E-2</v>
      </c>
      <c r="AP79" s="303">
        <f>INDEX($A$78:$H$85,MATCH($L36,$B$78:$B$85,0),MATCH($AO$77,$A$78:$H$78,0))*고양시_Modal_split!D$3 * 0.01</f>
        <v>9.9569619525521276</v>
      </c>
      <c r="AQ79" s="303">
        <f>INDEX($A$78:$H$85,MATCH($L36,$B$78:$B$85,0),MATCH($AO$77,$A$78:$H$78,0))*고양시_Modal_split!E$3 * 0.01</f>
        <v>1.2046590157350967</v>
      </c>
      <c r="AR79" s="303">
        <f>INDEX($A$78:$H$85,MATCH($L36,$B$78:$B$85,0),MATCH($AO$77,$A$78:$H$78,0))*고양시_Modal_split!F$3 * 0.01</f>
        <v>1.9414276228982141</v>
      </c>
      <c r="AS79" s="303">
        <f>INDEX($A$78:$H$85,MATCH($L36,$B$78:$B$85,0),MATCH($AO$77,$A$78:$H$78,0))*고양시_Modal_split!G$3 * 0.01</f>
        <v>0.19477790764082406</v>
      </c>
      <c r="AT79" s="303">
        <f>INDEX($A$78:$H$85,MATCH($L36,$B$78:$B$85,0),MATCH($AO$77,$A$78:$H$78,0))*고양시_Modal_split!H$3 * 0.01</f>
        <v>2.1171511700089573E-3</v>
      </c>
      <c r="AU79" s="303">
        <f>INDEX($A$78:$H$85,MATCH($L36,$B$78:$B$85,0),MATCH($AO$77,$A$78:$H$78,0))*고양시_Modal_split!I$3 * 0.01</f>
        <v>0.58856802526249019</v>
      </c>
      <c r="AV79" s="303">
        <f>INDEX($A$78:$H$85,MATCH($L36,$B$78:$B$85,0),MATCH($AO$77,$A$78:$H$78,0))*고양시_Modal_split!J$3 * 0.01</f>
        <v>6.4446081615072677</v>
      </c>
      <c r="AW79" s="303">
        <f>INDEX($A$78:$H$85,MATCH($L36,$B$78:$B$85,0),MATCH($AO$77,$A$78:$H$78,0))*고양시_Modal_split!K$3 * 0.01</f>
        <v>3.175726755013436E-2</v>
      </c>
      <c r="AX79" s="303">
        <f>INDEX($A$78:$H$85,MATCH($L36,$B$78:$B$85,0),MATCH($AO$77,$A$78:$H$78,0))*고양시_Modal_split!L$3 * 0.01</f>
        <v>0.63937965334270519</v>
      </c>
      <c r="AY79" s="303">
        <f>INDEX($A$78:$H$85,MATCH($L36,$B$78:$B$85,0),MATCH($AO$77,$A$78:$H$78,0))*고양시_Modal_split!M$3 * 0.01</f>
        <v>4.8694476910206015E-2</v>
      </c>
      <c r="AZ79" s="303">
        <f>INDEX($A$78:$H$85,MATCH($L36,$B$78:$B$85,0),MATCH($AO$77,$A$78:$H$78,0))*고양시_Modal_split!N$3 * 0.01</f>
        <v>2.1171511700089574E-2</v>
      </c>
      <c r="BA79" s="207">
        <f>INDEX($A$78:$H$85,MATCH($L36,$B$78:$B$85,0),MATCH($AO$77,$A$78:$H$78,0))*고양시_Modal_split!O$3 * 0.01</f>
        <v>3.8108721060161235E-2</v>
      </c>
      <c r="BB79" s="207">
        <f>INDEX($A$78:$H$85,MATCH($L36,$B$78:$B$85,0),MATCH($AO$77,$A$78:$H$78,0))*고양시_Modal_split!P$3 * 0.01</f>
        <v>21.171511700089575</v>
      </c>
      <c r="BC79" s="207">
        <f>INDEX($A$78:$H$85,MATCH($L79,$B$78:$B$85,0),MATCH($BC$77,$A$78:$H$78,0))*고양시_Modal_split!C$3 * 0.01</f>
        <v>9.3159087627423608E-5</v>
      </c>
      <c r="BD79" s="207">
        <f>INDEX($A$78:$H$85,MATCH($L79,$B$78:$B$85,0),MATCH($BC$77,$A$78:$H$78,0))*고양시_Modal_split!D$3 * 0.01</f>
        <v>1.564739961113476E-2</v>
      </c>
      <c r="BE79" s="207">
        <f>INDEX($A$78:$H$85,MATCH($L79,$B$78:$B$85,0),MATCH($BC$77,$A$78:$H$78,0))*고양시_Modal_split!E$3 * 0.01</f>
        <v>1.8931257450001441E-3</v>
      </c>
      <c r="BF79" s="207">
        <f>INDEX($A$78:$H$85,MATCH($L79,$B$78:$B$85,0),MATCH($BC$77,$A$78:$H$78,0))*고양시_Modal_split!F$3 * 0.01</f>
        <v>3.0509601197981234E-3</v>
      </c>
      <c r="BG79" s="207">
        <f>INDEX($A$78:$H$85,MATCH($L79,$B$78:$B$85,0),MATCH($BC$77,$A$78:$H$78,0))*고양시_Modal_split!G$3 * 0.01</f>
        <v>3.060941450615347E-4</v>
      </c>
      <c r="BH79" s="207">
        <f>INDEX($A$78:$H$85,MATCH($L79,$B$78:$B$85,0),MATCH($BC$77,$A$78:$H$78,0))*고양시_Modal_split!H$3 * 0.01</f>
        <v>3.327110272407986E-6</v>
      </c>
      <c r="BI79" s="207">
        <f>INDEX($A$78:$H$85,MATCH($L79,$B$78:$B$85,0),MATCH($BC$77,$A$78:$H$78,0))*고양시_Modal_split!I$3 * 0.01</f>
        <v>9.2493665572942021E-4</v>
      </c>
      <c r="BJ79" s="207">
        <f>INDEX($A$78:$H$85,MATCH($L79,$B$78:$B$85,0),MATCH($BC$77,$A$78:$H$78,0))*고양시_Modal_split!J$3 * 0.01</f>
        <v>1.0127723669209911E-2</v>
      </c>
      <c r="BK79" s="207">
        <f>INDEX($A$78:$H$85,MATCH($L79,$B$78:$B$85,0),MATCH($BC$77,$A$78:$H$78,0))*고양시_Modal_split!K$3 * 0.01</f>
        <v>4.9906654086119793E-5</v>
      </c>
      <c r="BL79" s="207">
        <f>INDEX($A$78:$H$85,MATCH($L79,$B$78:$B$85,0),MATCH($BC$77,$A$78:$H$78,0))*고양시_Modal_split!L$3 * 0.01</f>
        <v>1.004787302267212E-3</v>
      </c>
      <c r="BM79" s="207">
        <f>INDEX($A$78:$H$85,MATCH($L79,$B$78:$B$85,0),MATCH($BC$77,$A$78:$H$78,0))*고양시_Modal_split!M$3 * 0.01</f>
        <v>7.6523536265383674E-5</v>
      </c>
      <c r="BN79" s="207">
        <f>INDEX($A$78:$H$85,MATCH($L79,$B$78:$B$85,0),MATCH($BC$77,$A$78:$H$78,0))*고양시_Modal_split!N$3 * 0.01</f>
        <v>3.327110272407986E-5</v>
      </c>
      <c r="BO79" s="207">
        <f>INDEX($A$78:$H$85,MATCH($L79,$B$78:$B$85,0),MATCH($BC$77,$A$78:$H$78,0))*고양시_Modal_split!O$3 * 0.01</f>
        <v>5.9887984903343748E-5</v>
      </c>
      <c r="BP79" s="207">
        <f>INDEX($A$78:$H$85,MATCH($L79,$B$78:$B$85,0),MATCH($BC$77,$A$78:$H$78,0))*고양시_Modal_split!P$3 * 0.01</f>
        <v>3.3271102724079862E-2</v>
      </c>
      <c r="BQ79" s="207">
        <f>INDEX($A$78:$H$85,MATCH($L36,$B$78:$B$85,0),MATCH($BQ$77,$A$78:$H$78,0))*고양시_Modal_split!C$3 * 0.01</f>
        <v>3.5193433103693472E-4</v>
      </c>
      <c r="BR79" s="207">
        <f>INDEX($A$78:$H$85,MATCH($L36,$B$78:$B$85,0),MATCH($BQ$77,$A$78:$H$78,0))*고양시_Modal_split!D$3 * 0.01</f>
        <v>5.9112398530953722E-2</v>
      </c>
      <c r="BS79" s="207">
        <f>INDEX($A$78:$H$85,MATCH($L36,$B$78:$B$85,0),MATCH($BQ$77,$A$78:$H$78,0))*고양시_Modal_split!E$3 * 0.01</f>
        <v>7.1518083700005666E-3</v>
      </c>
      <c r="BT79" s="207">
        <f>INDEX($A$78:$H$85,MATCH($L36,$B$78:$B$85,0),MATCH($BQ$77,$A$78:$H$78,0))*고양시_Modal_split!F$3 * 0.01</f>
        <v>1.1525849341459614E-2</v>
      </c>
      <c r="BU79" s="207">
        <f>INDEX($A$78:$H$85,MATCH($L36,$B$78:$B$85,0),MATCH($BQ$77,$A$78:$H$78,0))*고양시_Modal_split!G$3 * 0.01</f>
        <v>1.1563556591213571E-3</v>
      </c>
      <c r="BV79" s="207">
        <f>INDEX($A$78:$H$85,MATCH($L36,$B$78:$B$85,0),MATCH($BQ$77,$A$78:$H$78,0))*고양시_Modal_split!H$3 * 0.01</f>
        <v>1.25690832513191E-5</v>
      </c>
      <c r="BW79" s="207">
        <f>INDEX($A$78:$H$85,MATCH($L36,$B$78:$B$85,0),MATCH($BQ$77,$A$78:$H$78,0))*고양시_Modal_split!I$3 * 0.01</f>
        <v>3.4942051438667096E-3</v>
      </c>
      <c r="BX79" s="207">
        <f>INDEX($A$78:$H$85,MATCH($L36,$B$78:$B$85,0),MATCH($BQ$77,$A$78:$H$78,0))*고양시_Modal_split!J$3 * 0.01</f>
        <v>3.8260289417015342E-2</v>
      </c>
      <c r="BY79" s="207">
        <f>INDEX($A$78:$H$85,MATCH($L36,$B$78:$B$85,0),MATCH($BQ$77,$A$78:$H$78,0))*고양시_Modal_split!K$3 * 0.01</f>
        <v>1.8853624876978648E-4</v>
      </c>
      <c r="BZ79" s="207">
        <f>INDEX($A$78:$H$85,MATCH($L36,$B$78:$B$85,0),MATCH($BQ$77,$A$78:$H$78,0))*고양시_Modal_split!L$3 * 0.01</f>
        <v>3.7958631418983681E-3</v>
      </c>
      <c r="CA79" s="207">
        <f>INDEX($A$78:$H$85,MATCH($L36,$B$78:$B$85,0),MATCH($BQ$77,$A$78:$H$78,0))*고양시_Modal_split!M$3 * 0.01</f>
        <v>2.8908891478033927E-4</v>
      </c>
      <c r="CB79" s="207">
        <f>INDEX($A$78:$H$85,MATCH($L36,$B$78:$B$85,0),MATCH($BQ$77,$A$78:$H$78,0))*고양시_Modal_split!N$3 * 0.01</f>
        <v>1.2569083251319101E-4</v>
      </c>
      <c r="CC79" s="207">
        <f>INDEX($A$78:$H$85,MATCH($L36,$B$78:$B$85,0),MATCH($BQ$77,$A$78:$H$78,0))*고양시_Modal_split!O$3 * 0.01</f>
        <v>2.2624349852374379E-4</v>
      </c>
      <c r="CD79" s="207">
        <f>INDEX($A$78:$H$85,MATCH($L36,$B$78:$B$85,0),MATCH($BQ$77,$A$78:$H$78,0))*고양시_Modal_split!P$3 * 0.01</f>
        <v>0.12569083251319099</v>
      </c>
      <c r="CE79" s="304">
        <f>M79+AA79+AO79+BC79+BQ79</f>
        <v>1.2358484564654064</v>
      </c>
      <c r="CF79" s="304">
        <f t="shared" ref="CF79:CR85" si="17">N79+AB79+AP79+BD79+BR79</f>
        <v>207.5784032413145</v>
      </c>
      <c r="CG79" s="304">
        <f t="shared" si="17"/>
        <v>25.114206133172011</v>
      </c>
      <c r="CH79" s="304">
        <f t="shared" si="17"/>
        <v>40.474036949242077</v>
      </c>
      <c r="CI79" s="304">
        <f t="shared" si="17"/>
        <v>4.0606449283863357</v>
      </c>
      <c r="CJ79" s="304">
        <f t="shared" si="17"/>
        <v>4.4137444873764524E-2</v>
      </c>
      <c r="CK79" s="304">
        <f t="shared" si="17"/>
        <v>12.270209674906534</v>
      </c>
      <c r="CL79" s="304">
        <f t="shared" si="17"/>
        <v>134.35438219573922</v>
      </c>
      <c r="CM79" s="304">
        <f t="shared" si="17"/>
        <v>0.66206167310646791</v>
      </c>
      <c r="CN79" s="304">
        <f t="shared" si="17"/>
        <v>13.329508351876887</v>
      </c>
      <c r="CO79" s="304">
        <f t="shared" si="17"/>
        <v>1.0151612320965839</v>
      </c>
      <c r="CP79" s="304">
        <f t="shared" si="17"/>
        <v>0.4413744487376452</v>
      </c>
      <c r="CQ79" s="304">
        <f t="shared" si="17"/>
        <v>0.79447400772776133</v>
      </c>
      <c r="CR79" s="304">
        <f t="shared" si="17"/>
        <v>441.37444873764525</v>
      </c>
      <c r="CS79" s="305">
        <f>H79-CR79</f>
        <v>0</v>
      </c>
      <c r="CV79" s="265"/>
      <c r="CW79" s="265" t="s">
        <v>710</v>
      </c>
      <c r="CX79" s="267">
        <f>INDEX($M$77:$Z$85,MATCH($CW79,$L$77:$L$85,0),MATCH(CX$78,$M$78:$Z$78,0))/INDEX(고양시_재차인원!$D$4:$H$35,MATCH("고양시",고양시_재차인원!$B$4:$B$35,0),MATCH($CX$77,고양시_재차인원!$D$4:$H$4,0))</f>
        <v>21.412721253570766</v>
      </c>
      <c r="CY79" s="267">
        <f>INDEX($M$77:$Z$85,MATCH($CW79,$L$77:$L$85,0),MATCH(CY$78,$M$78:$Z$78,0))/INDEX(고양시_재차인원!$K$4:$O$20,MATCH("경기도",고양시_재차인원!$K$4:$K$20,0),MATCH(CY$78,고양시_재차인원!$K$4:$O$4,0))</f>
        <v>1.7712229978617526E-4</v>
      </c>
      <c r="CZ79" s="267">
        <f>INDEX($M$77:$Z$85,MATCH($CW79,$L$77:$L$85,0),MATCH(CZ$78,$M$78:$Z$78,0))/INDEX(고양시_재차인원!$K$4:$O$20,MATCH("경기도",고양시_재차인원!$K$4:$K$20,0),MATCH(CZ$78,고양시_재차인원!$K$4:$O$4,0))</f>
        <v>4.9239999340556714E-2</v>
      </c>
      <c r="DA79" s="267">
        <f>INDEX($M$77:$Z$85,MATCH($CW79,$L$77:$L$85,0),MATCH(DA$78,$M$78:$Z$78,0))/INDEX(고양시_재차인원!$D$4:$H$35,MATCH("고양시",고양시_재차인원!$B$4:$B$35,0),MATCH($CX$77,고양시_재차인원!$D$4:$H$4,0))</f>
        <v>1.3750035761382888</v>
      </c>
      <c r="DB79" s="267">
        <f>INDEX($AA$77:$AN$85,MATCH($CW79,$L$77:$L$85,0),MATCH(DB$78,$AA$78:$AN$78,0))/INDEX(고양시_재차인원!$D$4:$H$35,MATCH("고양시",고양시_재차인원!$B$4:$B$35,0),MATCH($DB$77,고양시_재차인원!$D$4:$H$4,0))</f>
        <v>123.09534304015678</v>
      </c>
      <c r="DC79" s="267">
        <f>INDEX($AA$77:$AN$85,MATCH($CW79,$L$77:$L$85,0),MATCH(DC$78,$AA$78:$AN$78,0))/INDEX(고양시_재차인원!$K$4:$O$20,MATCH("경기도",고양시_재차인원!$K$4:$K$20,0),MATCH(DC$78,고양시_재차인원!$K$4:$O$4,0))</f>
        <v>1.2818703195341388E-3</v>
      </c>
      <c r="DD79" s="267">
        <f>INDEX($AA$77:$AN$85,MATCH($CW79,$L$77:$L$85,0),MATCH(DD$78,$AA$78:$AN$78,0))/INDEX(고양시_재차인원!$K$4:$O$20,MATCH("경기도",고양시_재차인원!$K$4:$K$20,0),MATCH(DD$78,고양시_재차인원!$K$4:$O$4,0))</f>
        <v>0.35635994883049049</v>
      </c>
      <c r="DE79" s="267">
        <f>INDEX($AA$77:$AN$85,MATCH($CW79,$L$77:$L$85,0),MATCH(DE$78,$AA$78:$AN$78,0))/INDEX(고양시_재차인원!$D$4:$H$35,MATCH("고양시",고양시_재차인원!$B$4:$B$35,0),MATCH($DB$77,고양시_재차인원!$D$4:$H$4,0))</f>
        <v>7.9044851367483204</v>
      </c>
      <c r="DF79" s="267">
        <f>INDEX($AO$77:$BB$85,MATCH($CW79,$L$77:$L$85,0),MATCH(DF$78,$AO$78:$BB$78,0))/INDEX(고양시_재차인원!$D$4:$H$35,MATCH("고양시",고양시_재차인원!$B$4:$B$35,0),MATCH($DF$77,고양시_재차인원!$D$4:$H$4,0))</f>
        <v>7.6592015019631745</v>
      </c>
      <c r="DG79" s="267">
        <f>INDEX($AO$77:$BB$85,MATCH($CW79,$L$77:$L$85,0),MATCH(DG$78,$AO$78:$BB$78,0))/INDEX(고양시_재차인원!$K$4:$O$20,MATCH("경기도",고양시_재차인원!$K$4:$K$20,0),MATCH(DG$78,고양시_재차인원!$K$4:$O$4,0))</f>
        <v>7.3537727336191639E-5</v>
      </c>
      <c r="DH79" s="267">
        <f>INDEX($AO$77:$BB$85,MATCH($CW79,$L$77:$L$85,0),MATCH(DH$78,$AO$78:$BB$78,0))/INDEX(고양시_재차인원!$K$4:$O$20,MATCH("경기도",고양시_재차인원!$K$4:$K$20,0),MATCH(DH$78,고양시_재차인원!$K$4:$O$4,0))</f>
        <v>2.044348819946128E-2</v>
      </c>
      <c r="DI79" s="267">
        <f>INDEX($AO$77:$BB$85,MATCH($CW79,$L$77:$L$85,0),MATCH(DI$78,$AO$78:$BB$78,0))/INDEX(고양시_재차인원!$D$4:$H$35,MATCH("고양시",고양시_재차인원!$B$4:$B$35,0),MATCH($DF$77,고양시_재차인원!$D$4:$H$4,0))</f>
        <v>0.49183050257131167</v>
      </c>
      <c r="DJ79" s="267">
        <f>INDEX($BC$77:$BP$85,MATCH($CW79,$L$77:$L$85,0),MATCH(DJ$78,$BC$78:$BP$78,0))/INDEX(고양시_재차인원!$D$4:$H$35,MATCH("고양시",고양시_재차인원!$B$4:$B$35,0),MATCH($DJ$77,고양시_재차인원!$D$4:$H$4,0))</f>
        <v>1.1505440890540264E-2</v>
      </c>
      <c r="DK79" s="267">
        <f>INDEX($BC$77:$BP$85,MATCH($CW79,$L$77:$L$85,0),MATCH(DK$78,$BC$78:$BP$78,0))/INDEX(고양시_재차인원!$K$4:$O$20,MATCH("경기도",고양시_재차인원!$K$4:$K$20,0),MATCH(DK$78,고양시_재차인원!$K$4:$O$4,0))</f>
        <v>1.1556478889920062E-7</v>
      </c>
      <c r="DL79" s="267">
        <f>INDEX($BC$77:$BP$85,MATCH($CW79,$L$77:$L$85,0),MATCH(DL$78,$BC$78:$BP$78,0))/INDEX(고양시_재차인원!$K$4:$O$20,MATCH("경기도",고양시_재차인원!$K$4:$K$20,0),MATCH(DL$78,고양시_재차인원!$K$4:$O$4,0))</f>
        <v>3.2127011313977776E-5</v>
      </c>
      <c r="DM79" s="267">
        <f>INDEX($BC$77:$BP$85,MATCH($CW79,$L$77:$L$85,0),MATCH(DM$78,$BC$78:$BP$78,0))/INDEX(고양시_재차인원!$D$4:$H$35,MATCH("고양시",고양시_재차인원!$B$4:$B$35,0),MATCH($DJ$77,고양시_재차인원!$D$4:$H$4,0))</f>
        <v>7.3881419284353819E-4</v>
      </c>
      <c r="DN79" s="267">
        <f>INDEX($BQ$77:$CD$85,MATCH($CW79,$L$77:$L$85,0),MATCH(DN$78,$BQ$78:$CD$78,0))/INDEX(고양시_재차인원!$D$4:$H$35,MATCH("고양시",고양시_재차인원!$B$4:$B$35,0),MATCH($DN$77,고양시_재차인원!$D$4:$H$4,0))</f>
        <v>4.6914602008693428E-2</v>
      </c>
      <c r="DO79" s="267">
        <f>INDEX($BQ$77:$CD$85,MATCH($CW79,$L$77:$L$85,0),MATCH(DO$78,$BQ$78:$CD$78,0))/INDEX(고양시_재차인원!$K$4:$O$20,MATCH("경기도",고양시_재차인원!$K$4:$K$20,0),MATCH(DO$78,고양시_재차인원!$K$4:$O$4,0))</f>
        <v>4.365780913969816E-7</v>
      </c>
      <c r="DP79" s="267">
        <f>INDEX($BQ$77:$CD$85,MATCH($CW79,$L$77:$L$85,0),MATCH(DP$78,$BQ$78:$CD$78,0))/INDEX(고양시_재차인원!$K$4:$O$20,MATCH("경기도",고양시_재차인원!$K$4:$K$20,0),MATCH(DP$78,고양시_재차인원!$K$4:$O$4,0))</f>
        <v>1.2136870940836088E-4</v>
      </c>
      <c r="DQ79" s="267">
        <f>INDEX($BQ$77:$CD$85,MATCH($CW79,$L$77:$L$85,0),MATCH(DQ$78,$BQ$78:$CD$78,0))/INDEX(고양시_재차인원!$D$4:$H$35,MATCH("고양시",고양시_재차인원!$B$4:$B$35,0),MATCH($DN$77,고양시_재차인원!$D$4:$H$4,0))</f>
        <v>3.0125897951574351E-3</v>
      </c>
      <c r="DR79" s="270">
        <f>CX79+DB79+DF79+DJ79+DN79</f>
        <v>152.22568583858995</v>
      </c>
      <c r="DS79" s="270">
        <f t="shared" ref="DS79:DU85" si="18">CY79+DC79+DG79+DK79+DO79</f>
        <v>1.533082489536802E-3</v>
      </c>
      <c r="DT79" s="270">
        <f t="shared" si="18"/>
        <v>0.42619693209123088</v>
      </c>
      <c r="DU79" s="270">
        <f t="shared" si="18"/>
        <v>9.7750706194459198</v>
      </c>
      <c r="DW79" s="278"/>
      <c r="DX79" s="278" t="s">
        <v>710</v>
      </c>
      <c r="DY79" s="281">
        <f>DR79+DU79</f>
        <v>162.00075645803588</v>
      </c>
      <c r="DZ79" s="281">
        <f>DS79+DT79</f>
        <v>0.4277300145807677</v>
      </c>
      <c r="EB79" s="278"/>
      <c r="EC79" s="278" t="s">
        <v>12</v>
      </c>
      <c r="ED79" s="281">
        <f>DY79</f>
        <v>162.00075645803588</v>
      </c>
      <c r="EE79" s="281">
        <f t="shared" ref="EE79:EE85" si="19">DZ79</f>
        <v>0.4277300145807677</v>
      </c>
      <c r="EL79" s="420" t="s">
        <v>728</v>
      </c>
      <c r="EM79" s="420"/>
      <c r="EN79" s="420"/>
      <c r="EO79" s="420"/>
      <c r="EP79" s="421">
        <v>849201</v>
      </c>
      <c r="EQ79" s="422">
        <f>ED86</f>
        <v>822.40755250622408</v>
      </c>
      <c r="ER79" s="422">
        <f>EE86</f>
        <v>2.171399702790533</v>
      </c>
      <c r="ES79">
        <v>0</v>
      </c>
      <c r="EU79" s="306" t="s">
        <v>728</v>
      </c>
      <c r="EV79" s="306"/>
      <c r="EW79" s="306"/>
      <c r="EX79" s="306"/>
      <c r="EY79" s="307">
        <v>849201</v>
      </c>
      <c r="EZ79" s="308">
        <f>EQ79*$EI$29</f>
        <v>822.40755250622408</v>
      </c>
      <c r="FA79" s="308">
        <f t="shared" ref="FA79" si="20">ER79*$EI$29</f>
        <v>2.171399702790533</v>
      </c>
      <c r="FE79" t="s">
        <v>564</v>
      </c>
      <c r="FF79" t="s">
        <v>565</v>
      </c>
      <c r="FG79" t="s">
        <v>566</v>
      </c>
    </row>
    <row r="80" spans="1:164" ht="25">
      <c r="A80" s="205"/>
      <c r="B80" s="205" t="s">
        <v>712</v>
      </c>
      <c r="C80" s="400">
        <f>$D9*KTDB_TripDistribution_2035!T$12 * (1+KTDB_발생량도착량_증가율!$C$7) * (1+KTDB_발생량도착량_증가율!$D$8*5) * (1+KTDB_발생량도착량_증가율!$E$8*5)</f>
        <v>96.899500646896144</v>
      </c>
      <c r="D80" s="400">
        <f>$D9*KTDB_TripDistribution_2035!U$12 * (1+KTDB_발생량도착량_증가율!$C$7) * (1+KTDB_발생량도착량_증가율!$D$8*5) * (1+KTDB_발생량도착량_증가율!$E$8*5)</f>
        <v>701.28151004637243</v>
      </c>
      <c r="E80" s="400">
        <f>$D9*KTDB_TripDistribution_2035!V$12 * (1+KTDB_발생량도착량_증가율!$C$7) * (1+KTDB_발생량도착량_증가율!$D$8*5) * (1+KTDB_발생량도착량_증가율!$E$8*5)</f>
        <v>40.230784413859304</v>
      </c>
      <c r="F80" s="400">
        <f>$D9*KTDB_TripDistribution_2035!W$12 * (1+KTDB_발생량도착량_증가율!$C$7) * (1+KTDB_발생량도착량_증가율!$D$8*5) * (1+KTDB_발생량도착량_증가율!$E$8*5)</f>
        <v>6.3222814689144785E-2</v>
      </c>
      <c r="G80" s="400">
        <f>$D9*KTDB_TripDistribution_2035!X$12 * (1+KTDB_발생량도착량_증가율!$C$7) * (1+KTDB_발생량도착량_증가율!$D$8*5) * (1+KTDB_발생량도착량_증가율!$E$8*5)</f>
        <v>0.23884174438121444</v>
      </c>
      <c r="H80" s="400">
        <f>$D9*KTDB_TripDistribution_2035!Y$12 * (1+KTDB_발생량도착량_증가율!$C$7) * (1+KTDB_발생량도착량_증가율!$D$8*5) * (1+KTDB_발생량도착량_증가율!$E$8*5)</f>
        <v>838.71385966619835</v>
      </c>
      <c r="J80" s="230">
        <f t="shared" si="16"/>
        <v>838.71385966619835</v>
      </c>
      <c r="K80" s="206"/>
      <c r="L80" s="206" t="s">
        <v>712</v>
      </c>
      <c r="M80" s="206">
        <f>INDEX($A$78:$H$85,MATCH($L80,$B$78:$B$85,0),MATCH($M$77,$A$78:$H$78,0))*고양시_Modal_split!C$3 * 0.01</f>
        <v>0.27131860181130918</v>
      </c>
      <c r="N80" s="206">
        <f>INDEX($A$78:$H$85,MATCH($L80,$B$78:$B$85,0),MATCH($M$77,$A$78:$H$78,0))*고양시_Modal_split!D$3 * 0.01</f>
        <v>45.571835154235259</v>
      </c>
      <c r="O80" s="206">
        <f>INDEX($A$78:$H$85,MATCH($L80,$B$78:$B$85,0),MATCH($M$77,$A$78:$H$78,0))*고양시_Modal_split!E$3 * 0.01</f>
        <v>5.5135815868083897</v>
      </c>
      <c r="P80" s="206">
        <f>INDEX($A$78:$H$85,MATCH($L80,$B$78:$B$85,0),MATCH($M$77,$A$78:$H$78,0))*고양시_Modal_split!F$3 * 0.01</f>
        <v>8.8856842093203756</v>
      </c>
      <c r="Q80" s="206">
        <f>INDEX($A$78:$H$85,MATCH($L80,$B$78:$B$85,0),MATCH($M$77,$A$78:$H$78,0))*고양시_Modal_split!G$3 * 0.01</f>
        <v>0.89147540595144448</v>
      </c>
      <c r="R80" s="206">
        <f>INDEX($A$78:$H$85,MATCH($L80,$B$78:$B$85,0),MATCH($M$77,$A$78:$H$78,0))*고양시_Modal_split!H$3 * 0.01</f>
        <v>9.689950064689614E-3</v>
      </c>
      <c r="S80" s="206">
        <f>INDEX($A$78:$H$85,MATCH($L80,$B$78:$B$85,0),MATCH($M$77,$A$78:$H$78,0))*고양시_Modal_split!I$3 * 0.01</f>
        <v>2.6938061179837125</v>
      </c>
      <c r="T80" s="206">
        <f>INDEX($A$78:$H$85,MATCH($L80,$B$78:$B$85,0),MATCH($M$77,$A$78:$H$78,0))*고양시_Modal_split!J$3 * 0.01</f>
        <v>29.496207996915189</v>
      </c>
      <c r="U80" s="206">
        <f>INDEX($A$78:$H$85,MATCH($L80,$B$78:$B$85,0),MATCH($M$77,$A$78:$H$78,0))*고양시_Modal_split!K$3 * 0.01</f>
        <v>0.14534925097034421</v>
      </c>
      <c r="V80" s="206">
        <f>INDEX($A$78:$H$85,MATCH($L80,$B$78:$B$85,0),MATCH($M$77,$A$78:$H$78,0))*고양시_Modal_split!L$3 * 0.01</f>
        <v>2.926364919536264</v>
      </c>
      <c r="W80" s="206">
        <f>INDEX($A$78:$H$85,MATCH($L80,$B$78:$B$85,0),MATCH($M$77,$A$78:$H$78,0))*고양시_Modal_split!M$3 * 0.01</f>
        <v>0.22286885148786112</v>
      </c>
      <c r="X80" s="206">
        <f>INDEX($A$78:$H$85,MATCH($L80,$B$78:$B$85,0),MATCH($M$77,$A$78:$H$78,0))*고양시_Modal_split!N$3 * 0.01</f>
        <v>9.6899500646896147E-2</v>
      </c>
      <c r="Y80" s="206">
        <f>INDEX($A$78:$H$85,MATCH($L80,$B$78:$B$85,0),MATCH($M$77,$A$78:$H$78,0))*고양시_Modal_split!O$3 * 0.01</f>
        <v>0.17441910116441306</v>
      </c>
      <c r="Z80" s="209">
        <f>INDEX($A$78:$H$85,MATCH($L80,$B$78:$B$85,0),MATCH($M$77,$A$78:$H$78,0))*고양시_Modal_split!P$3 * 0.01</f>
        <v>96.899500646896144</v>
      </c>
      <c r="AA80" s="207">
        <f>INDEX($A$78:$H$85,MATCH($L80,$B$78:$B$85,0),MATCH($AA$77,$A$78:$H$78,0))*고양시_Modal_split!C$3 * 0.01</f>
        <v>1.9635882281298427</v>
      </c>
      <c r="AB80" s="207">
        <f>INDEX($A$78:$H$85,MATCH($L80,$B$78:$B$85,0),MATCH($AA$77,$A$78:$H$78,0))*고양시_Modal_split!D$3 * 0.01</f>
        <v>329.81269417480894</v>
      </c>
      <c r="AC80" s="207">
        <f>INDEX($A$78:$H$85,MATCH($L80,$B$78:$B$85,0),MATCH($AA$77,$A$78:$H$78,0))*고양시_Modal_split!E$3 * 0.01</f>
        <v>39.90291792163859</v>
      </c>
      <c r="AD80" s="207">
        <f>INDEX($A$78:$H$85,MATCH($L80,$B$78:$B$85,0),MATCH($AA$77,$A$78:$H$78,0))*고양시_Modal_split!F$3 * 0.01</f>
        <v>64.307514471252347</v>
      </c>
      <c r="AE80" s="207">
        <f>INDEX($A$78:$H$85,MATCH($L80,$B$78:$B$85,0),MATCH($AA$77,$A$78:$H$78,0))*고양시_Modal_split!G$3 * 0.01</f>
        <v>6.4517898924266266</v>
      </c>
      <c r="AF80" s="207">
        <f>INDEX($A$78:$H$85,MATCH($L80,$B$78:$B$85,0),MATCH($AA$77,$A$78:$H$78,0))*고양시_Modal_split!H$3 * 0.01</f>
        <v>7.0128151004637249E-2</v>
      </c>
      <c r="AG80" s="207">
        <f>INDEX($A$78:$H$85,MATCH($L80,$B$78:$B$85,0),MATCH($AA$77,$A$78:$H$78,0))*고양시_Modal_split!I$3 * 0.01</f>
        <v>19.495625979289152</v>
      </c>
      <c r="AH80" s="207">
        <f>INDEX($A$78:$H$85,MATCH($L80,$B$78:$B$85,0),MATCH($AA$77,$A$78:$H$78,0))*고양시_Modal_split!J$3 * 0.01</f>
        <v>213.47009165811579</v>
      </c>
      <c r="AI80" s="207">
        <f>INDEX($A$78:$H$85,MATCH($L80,$B$78:$B$85,0),MATCH($AA$77,$A$78:$H$78,0))*고양시_Modal_split!K$3 * 0.01</f>
        <v>1.0519222650695585</v>
      </c>
      <c r="AJ80" s="207">
        <f>INDEX($A$78:$H$85,MATCH($L80,$B$78:$B$85,0),MATCH($AA$77,$A$78:$H$78,0))*고양시_Modal_split!L$3 * 0.01</f>
        <v>21.178701603400444</v>
      </c>
      <c r="AK80" s="207">
        <f>INDEX($A$78:$H$85,MATCH($L80,$B$78:$B$85,0),MATCH($AA$77,$A$78:$H$78,0))*고양시_Modal_split!M$3 * 0.01</f>
        <v>1.6129474731066566</v>
      </c>
      <c r="AL80" s="207">
        <f>INDEX($A$78:$H$85,MATCH($L80,$B$78:$B$85,0),MATCH($AA$77,$A$78:$H$78,0))*고양시_Modal_split!N$3 * 0.01</f>
        <v>0.70128151004637251</v>
      </c>
      <c r="AM80" s="207">
        <f>INDEX($A$78:$H$85,MATCH($L80,$B$78:$B$85,0),MATCH($AA$77,$A$78:$H$78,0))*고양시_Modal_split!O$3 * 0.01</f>
        <v>1.2623067180834704</v>
      </c>
      <c r="AN80" s="207">
        <f>INDEX($A$78:$H$85,MATCH($L80,$B$78:$B$85,0),MATCH($AA$77,$A$78:$H$78,0))*고양시_Modal_split!P$3 * 0.01</f>
        <v>701.28151004637243</v>
      </c>
      <c r="AO80" s="303">
        <f>INDEX($A$78:$H$85,MATCH($L37,$B$78:$B$85,0),MATCH($AO$77,$A$78:$H$78,0))*고양시_Modal_split!C$3 * 0.01</f>
        <v>0.11264619635880604</v>
      </c>
      <c r="AP80" s="303">
        <f>INDEX($A$78:$H$85,MATCH($L37,$B$78:$B$85,0),MATCH($AO$77,$A$78:$H$78,0))*고양시_Modal_split!D$3 * 0.01</f>
        <v>18.920537909838032</v>
      </c>
      <c r="AQ80" s="303">
        <f>INDEX($A$78:$H$85,MATCH($L37,$B$78:$B$85,0),MATCH($AO$77,$A$78:$H$78,0))*고양시_Modal_split!E$3 * 0.01</f>
        <v>2.2891316331485942</v>
      </c>
      <c r="AR80" s="303">
        <f>INDEX($A$78:$H$85,MATCH($L37,$B$78:$B$85,0),MATCH($AO$77,$A$78:$H$78,0))*고양시_Modal_split!F$3 * 0.01</f>
        <v>3.6891629307508982</v>
      </c>
      <c r="AS80" s="303">
        <f>INDEX($A$78:$H$85,MATCH($L37,$B$78:$B$85,0),MATCH($AO$77,$A$78:$H$78,0))*고양시_Modal_split!G$3 * 0.01</f>
        <v>0.37012321660750558</v>
      </c>
      <c r="AT80" s="303">
        <f>INDEX($A$78:$H$85,MATCH($L37,$B$78:$B$85,0),MATCH($AO$77,$A$78:$H$78,0))*고양시_Modal_split!H$3 * 0.01</f>
        <v>4.0230784413859307E-3</v>
      </c>
      <c r="AU80" s="303">
        <f>INDEX($A$78:$H$85,MATCH($L37,$B$78:$B$85,0),MATCH($AO$77,$A$78:$H$78,0))*고양시_Modal_split!I$3 * 0.01</f>
        <v>1.1184158067052885</v>
      </c>
      <c r="AV80" s="303">
        <f>INDEX($A$78:$H$85,MATCH($L37,$B$78:$B$85,0),MATCH($AO$77,$A$78:$H$78,0))*고양시_Modal_split!J$3 * 0.01</f>
        <v>12.246250775578774</v>
      </c>
      <c r="AW80" s="303">
        <f>INDEX($A$78:$H$85,MATCH($L37,$B$78:$B$85,0),MATCH($AO$77,$A$78:$H$78,0))*고양시_Modal_split!K$3 * 0.01</f>
        <v>6.0346176620788956E-2</v>
      </c>
      <c r="AX80" s="303">
        <f>INDEX($A$78:$H$85,MATCH($L37,$B$78:$B$85,0),MATCH($AO$77,$A$78:$H$78,0))*고양시_Modal_split!L$3 * 0.01</f>
        <v>1.2149696892985511</v>
      </c>
      <c r="AY80" s="303">
        <f>INDEX($A$78:$H$85,MATCH($L37,$B$78:$B$85,0),MATCH($AO$77,$A$78:$H$78,0))*고양시_Modal_split!M$3 * 0.01</f>
        <v>9.2530804151876395E-2</v>
      </c>
      <c r="AZ80" s="303">
        <f>INDEX($A$78:$H$85,MATCH($L37,$B$78:$B$85,0),MATCH($AO$77,$A$78:$H$78,0))*고양시_Modal_split!N$3 * 0.01</f>
        <v>4.0230784413859307E-2</v>
      </c>
      <c r="BA80" s="207">
        <f>INDEX($A$78:$H$85,MATCH($L37,$B$78:$B$85,0),MATCH($AO$77,$A$78:$H$78,0))*고양시_Modal_split!O$3 * 0.01</f>
        <v>7.2415411944946745E-2</v>
      </c>
      <c r="BB80" s="207">
        <f>INDEX($A$78:$H$85,MATCH($L37,$B$78:$B$85,0),MATCH($AO$77,$A$78:$H$78,0))*고양시_Modal_split!P$3 * 0.01</f>
        <v>40.230784413859304</v>
      </c>
      <c r="BC80" s="207">
        <f>INDEX($A$78:$H$85,MATCH($L80,$B$78:$B$85,0),MATCH($BC$77,$A$78:$H$78,0))*고양시_Modal_split!C$3 * 0.01</f>
        <v>1.770238811296054E-4</v>
      </c>
      <c r="BD80" s="207">
        <f>INDEX($A$78:$H$85,MATCH($L80,$B$78:$B$85,0),MATCH($BC$77,$A$78:$H$78,0))*고양시_Modal_split!D$3 * 0.01</f>
        <v>2.9733689748304794E-2</v>
      </c>
      <c r="BE80" s="207">
        <f>INDEX($A$78:$H$85,MATCH($L80,$B$78:$B$85,0),MATCH($BC$77,$A$78:$H$78,0))*고양시_Modal_split!E$3 * 0.01</f>
        <v>3.5973781558123379E-3</v>
      </c>
      <c r="BF80" s="207">
        <f>INDEX($A$78:$H$85,MATCH($L80,$B$78:$B$85,0),MATCH($BC$77,$A$78:$H$78,0))*고양시_Modal_split!F$3 * 0.01</f>
        <v>5.7975321069945766E-3</v>
      </c>
      <c r="BG80" s="207">
        <f>INDEX($A$78:$H$85,MATCH($L80,$B$78:$B$85,0),MATCH($BC$77,$A$78:$H$78,0))*고양시_Modal_split!G$3 * 0.01</f>
        <v>5.8164989514013199E-4</v>
      </c>
      <c r="BH80" s="207">
        <f>INDEX($A$78:$H$85,MATCH($L80,$B$78:$B$85,0),MATCH($BC$77,$A$78:$H$78,0))*고양시_Modal_split!H$3 * 0.01</f>
        <v>6.3222814689144785E-6</v>
      </c>
      <c r="BI80" s="207">
        <f>INDEX($A$78:$H$85,MATCH($L80,$B$78:$B$85,0),MATCH($BC$77,$A$78:$H$78,0))*고양시_Modal_split!I$3 * 0.01</f>
        <v>1.757594248358225E-3</v>
      </c>
      <c r="BJ80" s="207">
        <f>INDEX($A$78:$H$85,MATCH($L80,$B$78:$B$85,0),MATCH($BC$77,$A$78:$H$78,0))*고양시_Modal_split!J$3 * 0.01</f>
        <v>1.9245024791375673E-2</v>
      </c>
      <c r="BK80" s="207">
        <f>INDEX($A$78:$H$85,MATCH($L80,$B$78:$B$85,0),MATCH($BC$77,$A$78:$H$78,0))*고양시_Modal_split!K$3 * 0.01</f>
        <v>9.4834222033717171E-5</v>
      </c>
      <c r="BL80" s="207">
        <f>INDEX($A$78:$H$85,MATCH($L80,$B$78:$B$85,0),MATCH($BC$77,$A$78:$H$78,0))*고양시_Modal_split!L$3 * 0.01</f>
        <v>1.9093290036121724E-3</v>
      </c>
      <c r="BM80" s="207">
        <f>INDEX($A$78:$H$85,MATCH($L80,$B$78:$B$85,0),MATCH($BC$77,$A$78:$H$78,0))*고양시_Modal_split!M$3 * 0.01</f>
        <v>1.45412473785033E-4</v>
      </c>
      <c r="BN80" s="207">
        <f>INDEX($A$78:$H$85,MATCH($L80,$B$78:$B$85,0),MATCH($BC$77,$A$78:$H$78,0))*고양시_Modal_split!N$3 * 0.01</f>
        <v>6.3222814689144799E-5</v>
      </c>
      <c r="BO80" s="207">
        <f>INDEX($A$78:$H$85,MATCH($L80,$B$78:$B$85,0),MATCH($BC$77,$A$78:$H$78,0))*고양시_Modal_split!O$3 * 0.01</f>
        <v>1.1380106644046061E-4</v>
      </c>
      <c r="BP80" s="207">
        <f>INDEX($A$78:$H$85,MATCH($L80,$B$78:$B$85,0),MATCH($BC$77,$A$78:$H$78,0))*고양시_Modal_split!P$3 * 0.01</f>
        <v>6.3222814689144785E-2</v>
      </c>
      <c r="BQ80" s="207">
        <f>INDEX($A$78:$H$85,MATCH($L37,$B$78:$B$85,0),MATCH($BQ$77,$A$78:$H$78,0))*고양시_Modal_split!C$3 * 0.01</f>
        <v>6.6875688426740036E-4</v>
      </c>
      <c r="BR80" s="207">
        <f>INDEX($A$78:$H$85,MATCH($L37,$B$78:$B$85,0),MATCH($BQ$77,$A$78:$H$78,0))*고양시_Modal_split!D$3 * 0.01</f>
        <v>0.11232727238248515</v>
      </c>
      <c r="BS80" s="207">
        <f>INDEX($A$78:$H$85,MATCH($L37,$B$78:$B$85,0),MATCH($BQ$77,$A$78:$H$78,0))*고양시_Modal_split!E$3 * 0.01</f>
        <v>1.3590095255291102E-2</v>
      </c>
      <c r="BT80" s="207">
        <f>INDEX($A$78:$H$85,MATCH($L37,$B$78:$B$85,0),MATCH($BQ$77,$A$78:$H$78,0))*고양시_Modal_split!F$3 * 0.01</f>
        <v>2.1901787959757363E-2</v>
      </c>
      <c r="BU80" s="207">
        <f>INDEX($A$78:$H$85,MATCH($L37,$B$78:$B$85,0),MATCH($BQ$77,$A$78:$H$78,0))*고양시_Modal_split!G$3 * 0.01</f>
        <v>2.1973440483071729E-3</v>
      </c>
      <c r="BV80" s="207">
        <f>INDEX($A$78:$H$85,MATCH($L37,$B$78:$B$85,0),MATCH($BQ$77,$A$78:$H$78,0))*고양시_Modal_split!H$3 * 0.01</f>
        <v>2.3884174438121446E-5</v>
      </c>
      <c r="BW80" s="207">
        <f>INDEX($A$78:$H$85,MATCH($L37,$B$78:$B$85,0),MATCH($BQ$77,$A$78:$H$78,0))*고양시_Modal_split!I$3 * 0.01</f>
        <v>6.6398004937977609E-3</v>
      </c>
      <c r="BX80" s="207">
        <f>INDEX($A$78:$H$85,MATCH($L37,$B$78:$B$85,0),MATCH($BQ$77,$A$78:$H$78,0))*고양시_Modal_split!J$3 * 0.01</f>
        <v>7.2703426989641676E-2</v>
      </c>
      <c r="BY80" s="207">
        <f>INDEX($A$78:$H$85,MATCH($L37,$B$78:$B$85,0),MATCH($BQ$77,$A$78:$H$78,0))*고양시_Modal_split!K$3 * 0.01</f>
        <v>3.5826261657182168E-4</v>
      </c>
      <c r="BZ80" s="207">
        <f>INDEX($A$78:$H$85,MATCH($L37,$B$78:$B$85,0),MATCH($BQ$77,$A$78:$H$78,0))*고양시_Modal_split!L$3 * 0.01</f>
        <v>7.2130206803126765E-3</v>
      </c>
      <c r="CA80" s="207">
        <f>INDEX($A$78:$H$85,MATCH($L37,$B$78:$B$85,0),MATCH($BQ$77,$A$78:$H$78,0))*고양시_Modal_split!M$3 * 0.01</f>
        <v>5.4933601207679322E-4</v>
      </c>
      <c r="CB80" s="207">
        <f>INDEX($A$78:$H$85,MATCH($L37,$B$78:$B$85,0),MATCH($BQ$77,$A$78:$H$78,0))*고양시_Modal_split!N$3 * 0.01</f>
        <v>2.3884174438121446E-4</v>
      </c>
      <c r="CC80" s="207">
        <f>INDEX($A$78:$H$85,MATCH($L37,$B$78:$B$85,0),MATCH($BQ$77,$A$78:$H$78,0))*고양시_Modal_split!O$3 * 0.01</f>
        <v>4.2991513988618597E-4</v>
      </c>
      <c r="CD80" s="207">
        <f>INDEX($A$78:$H$85,MATCH($L37,$B$78:$B$85,0),MATCH($BQ$77,$A$78:$H$78,0))*고양시_Modal_split!P$3 * 0.01</f>
        <v>0.23884174438121444</v>
      </c>
      <c r="CE80" s="304">
        <f t="shared" ref="CE80:CE85" si="21">M80+AA80+AO80+BC80+BQ80</f>
        <v>2.3483988070653545</v>
      </c>
      <c r="CF80" s="304">
        <f t="shared" si="17"/>
        <v>394.44712820101296</v>
      </c>
      <c r="CG80" s="304">
        <f t="shared" si="17"/>
        <v>47.722818615006673</v>
      </c>
      <c r="CH80" s="304">
        <f t="shared" si="17"/>
        <v>76.910060931390376</v>
      </c>
      <c r="CI80" s="304">
        <f t="shared" si="17"/>
        <v>7.7161675089290238</v>
      </c>
      <c r="CJ80" s="304">
        <f t="shared" si="17"/>
        <v>8.3871385966619832E-2</v>
      </c>
      <c r="CK80" s="304">
        <f t="shared" si="17"/>
        <v>23.316245298720307</v>
      </c>
      <c r="CL80" s="304">
        <f t="shared" si="17"/>
        <v>255.30449888239079</v>
      </c>
      <c r="CM80" s="304">
        <f t="shared" si="17"/>
        <v>1.2580707894992973</v>
      </c>
      <c r="CN80" s="304">
        <f t="shared" si="17"/>
        <v>25.329158561919186</v>
      </c>
      <c r="CO80" s="304">
        <f t="shared" si="17"/>
        <v>1.929041877232256</v>
      </c>
      <c r="CP80" s="304">
        <f t="shared" si="17"/>
        <v>0.83871385966619838</v>
      </c>
      <c r="CQ80" s="304">
        <f t="shared" si="17"/>
        <v>1.5096849473991567</v>
      </c>
      <c r="CR80" s="304">
        <f t="shared" si="17"/>
        <v>838.71385966619835</v>
      </c>
      <c r="CS80" s="305">
        <f t="shared" ref="CS80:CS85" si="22">H80-CR80</f>
        <v>0</v>
      </c>
      <c r="CV80" s="265"/>
      <c r="CW80" s="265" t="s">
        <v>712</v>
      </c>
      <c r="CX80" s="267">
        <f>INDEX($M$77:$Z$85,MATCH($CW80,$L$77:$L$85,0),MATCH(CX$78,$M$78:$Z$78,0))/INDEX(고양시_재차인원!$D$4:$H$35,MATCH("고양시",고양시_재차인원!$B$4:$B$35,0),MATCH($CX$77,고양시_재차인원!$D$4:$H$4,0))</f>
        <v>40.689138530567192</v>
      </c>
      <c r="CY80" s="267">
        <f>INDEX($M$77:$Z$85,MATCH($CW80,$L$77:$L$85,0),MATCH(CY$78,$M$78:$Z$78,0))/INDEX(고양시_재차인원!$K$4:$O$20,MATCH("경기도",고양시_재차인원!$K$4:$K$20,0),MATCH(CY$78,고양시_재차인원!$K$4:$O$4,0))</f>
        <v>3.3657346525493625E-4</v>
      </c>
      <c r="CZ80" s="267">
        <f>INDEX($M$77:$Z$85,MATCH($CW80,$L$77:$L$85,0),MATCH(CZ$78,$M$78:$Z$78,0))/INDEX(고양시_재차인원!$K$4:$O$20,MATCH("경기도",고양시_재차인원!$K$4:$K$20,0),MATCH(CZ$78,고양시_재차인원!$K$4:$O$4,0))</f>
        <v>9.3567423340872272E-2</v>
      </c>
      <c r="DA80" s="267">
        <f>INDEX($M$77:$Z$85,MATCH($CW80,$L$77:$L$85,0),MATCH(DA$78,$M$78:$Z$78,0))/INDEX(고양시_재차인원!$D$4:$H$35,MATCH("고양시",고양시_재차인원!$B$4:$B$35,0),MATCH($CX$77,고양시_재차인원!$D$4:$H$4,0))</f>
        <v>2.6128258210145212</v>
      </c>
      <c r="DB80" s="267">
        <f>INDEX($AA$77:$AN$85,MATCH($CW80,$L$77:$L$85,0),MATCH(DB$78,$AA$78:$AN$78,0))/INDEX(고양시_재차인원!$D$4:$H$35,MATCH("고양시",고양시_재차인원!$B$4:$B$35,0),MATCH($DB$77,고양시_재차인원!$D$4:$H$4,0))</f>
        <v>233.90971218071559</v>
      </c>
      <c r="DC80" s="267">
        <f>INDEX($AA$77:$AN$85,MATCH($CW80,$L$77:$L$85,0),MATCH(DC$78,$AA$78:$AN$78,0))/INDEX(고양시_재차인원!$K$4:$O$20,MATCH("경기도",고양시_재차인원!$K$4:$K$20,0),MATCH(DC$78,고양시_재차인원!$K$4:$O$4,0))</f>
        <v>2.4358510248224125E-3</v>
      </c>
      <c r="DD80" s="267">
        <f>INDEX($AA$77:$AN$85,MATCH($CW80,$L$77:$L$85,0),MATCH(DD$78,$AA$78:$AN$78,0))/INDEX(고양시_재차인원!$K$4:$O$20,MATCH("경기도",고양시_재차인원!$K$4:$K$20,0),MATCH(DD$78,고양시_재차인원!$K$4:$O$4,0))</f>
        <v>0.67716658490063053</v>
      </c>
      <c r="DE80" s="267">
        <f>INDEX($AA$77:$AN$85,MATCH($CW80,$L$77:$L$85,0),MATCH(DE$78,$AA$78:$AN$78,0))/INDEX(고양시_재차인원!$D$4:$H$35,MATCH("고양시",고양시_재차인원!$B$4:$B$35,0),MATCH($DB$77,고양시_재차인원!$D$4:$H$4,0))</f>
        <v>15.020355747092514</v>
      </c>
      <c r="DF80" s="267">
        <f>INDEX($AO$77:$BB$85,MATCH($CW80,$L$77:$L$85,0),MATCH(DF$78,$AO$78:$BB$78,0))/INDEX(고양시_재차인원!$D$4:$H$35,MATCH("고양시",고양시_재차인원!$B$4:$B$35,0),MATCH($DF$77,고양시_재차인원!$D$4:$H$4,0))</f>
        <v>14.554259930644639</v>
      </c>
      <c r="DG80" s="267">
        <f>INDEX($AO$77:$BB$85,MATCH($CW80,$L$77:$L$85,0),MATCH(DG$78,$AO$78:$BB$78,0))/INDEX(고양시_재차인원!$K$4:$O$20,MATCH("경기도",고양시_재차인원!$K$4:$K$20,0),MATCH(DG$78,고양시_재차인원!$K$4:$O$4,0))</f>
        <v>1.3973874405647554E-4</v>
      </c>
      <c r="DH80" s="267">
        <f>INDEX($AO$77:$BB$85,MATCH($CW80,$L$77:$L$85,0),MATCH(DH$78,$AO$78:$BB$78,0))/INDEX(고양시_재차인원!$K$4:$O$20,MATCH("경기도",고양시_재차인원!$K$4:$K$20,0),MATCH(DH$78,고양시_재차인원!$K$4:$O$4,0))</f>
        <v>3.8847370847700194E-2</v>
      </c>
      <c r="DI80" s="267">
        <f>INDEX($AO$77:$BB$85,MATCH($CW80,$L$77:$L$85,0),MATCH(DI$78,$AO$78:$BB$78,0))/INDEX(고양시_재차인원!$D$4:$H$35,MATCH("고양시",고양시_재차인원!$B$4:$B$35,0),MATCH($DF$77,고양시_재차인원!$D$4:$H$4,0))</f>
        <v>0.93459206869119316</v>
      </c>
      <c r="DJ80" s="267">
        <f>INDEX($BC$77:$BP$85,MATCH($CW80,$L$77:$L$85,0),MATCH(DJ$78,$BC$78:$BP$78,0))/INDEX(고양시_재차인원!$D$4:$H$35,MATCH("고양시",고양시_재차인원!$B$4:$B$35,0),MATCH($DJ$77,고양시_재차인원!$D$4:$H$4,0))</f>
        <v>2.1863007167871169E-2</v>
      </c>
      <c r="DK80" s="267">
        <f>INDEX($BC$77:$BP$85,MATCH($CW80,$L$77:$L$85,0),MATCH(DK$78,$BC$78:$BP$78,0))/INDEX(고양시_재차인원!$K$4:$O$20,MATCH("경기도",고양시_재차인원!$K$4:$K$20,0),MATCH(DK$78,고양시_재차인원!$K$4:$O$4,0))</f>
        <v>2.1959991208455986E-7</v>
      </c>
      <c r="DL80" s="267">
        <f>INDEX($BC$77:$BP$85,MATCH($CW80,$L$77:$L$85,0),MATCH(DL$78,$BC$78:$BP$78,0))/INDEX(고양시_재차인원!$K$4:$O$20,MATCH("경기도",고양시_재차인원!$K$4:$K$20,0),MATCH(DL$78,고양시_재차인원!$K$4:$O$4,0))</f>
        <v>6.1048775559507636E-5</v>
      </c>
      <c r="DM80" s="267">
        <f>INDEX($BC$77:$BP$85,MATCH($CW80,$L$77:$L$85,0),MATCH(DM$78,$BC$78:$BP$78,0))/INDEX(고양시_재차인원!$D$4:$H$35,MATCH("고양시",고양시_재차인원!$B$4:$B$35,0),MATCH($DJ$77,고양시_재차인원!$D$4:$H$4,0))</f>
        <v>1.4039183850089502E-3</v>
      </c>
      <c r="DN80" s="267">
        <f>INDEX($BQ$77:$CD$85,MATCH($CW80,$L$77:$L$85,0),MATCH(DN$78,$BQ$78:$CD$78,0))/INDEX(고양시_재차인원!$D$4:$H$35,MATCH("고양시",고양시_재차인원!$B$4:$B$35,0),MATCH($DN$77,고양시_재차인원!$D$4:$H$4,0))</f>
        <v>8.9148628874988214E-2</v>
      </c>
      <c r="DO80" s="267">
        <f>INDEX($BQ$77:$CD$85,MATCH($CW80,$L$77:$L$85,0),MATCH(DO$78,$BQ$78:$CD$78,0))/INDEX(고양시_재차인원!$K$4:$O$20,MATCH("경기도",고양시_재차인원!$K$4:$K$20,0),MATCH(DO$78,고양시_재차인원!$K$4:$O$4,0))</f>
        <v>8.2959966787500687E-7</v>
      </c>
      <c r="DP80" s="267">
        <f>INDEX($BQ$77:$CD$85,MATCH($CW80,$L$77:$L$85,0),MATCH(DP$78,$BQ$78:$CD$78,0))/INDEX(고양시_재차인원!$K$4:$O$20,MATCH("경기도",고양시_재차인원!$K$4:$K$20,0),MATCH(DP$78,고양시_재차인원!$K$4:$O$4,0))</f>
        <v>2.3062870766925187E-4</v>
      </c>
      <c r="DQ80" s="267">
        <f>INDEX($BQ$77:$CD$85,MATCH($CW80,$L$77:$L$85,0),MATCH(DQ$78,$BQ$78:$CD$78,0))/INDEX(고양시_재차인원!$D$4:$H$35,MATCH("고양시",고양시_재차인원!$B$4:$B$35,0),MATCH($DN$77,고양시_재차인원!$D$4:$H$4,0))</f>
        <v>5.7246195875497435E-3</v>
      </c>
      <c r="DR80" s="270">
        <f t="shared" ref="DR80:DR85" si="23">CX80+DB80+DF80+DJ80+DN80</f>
        <v>289.26412227797033</v>
      </c>
      <c r="DS80" s="270">
        <f t="shared" si="18"/>
        <v>2.9132124337137842E-3</v>
      </c>
      <c r="DT80" s="270">
        <f t="shared" si="18"/>
        <v>0.80987305657243169</v>
      </c>
      <c r="DU80" s="270">
        <f t="shared" si="18"/>
        <v>18.574902174770784</v>
      </c>
      <c r="DW80" s="278"/>
      <c r="DX80" s="278" t="s">
        <v>712</v>
      </c>
      <c r="DY80" s="281">
        <f t="shared" ref="DY80:DY85" si="24">DR80+DU80</f>
        <v>307.83902445274111</v>
      </c>
      <c r="DZ80" s="281">
        <f t="shared" ref="DZ80:DZ85" si="25">DS80+DT80</f>
        <v>0.81278626900614548</v>
      </c>
      <c r="EB80" s="278"/>
      <c r="EC80" s="278" t="s">
        <v>667</v>
      </c>
      <c r="ED80" s="281">
        <f t="shared" ref="ED80:ED85" si="26">DY80</f>
        <v>307.83902445274111</v>
      </c>
      <c r="EE80" s="281">
        <f t="shared" si="19"/>
        <v>0.81278626900614548</v>
      </c>
      <c r="FE80" t="s">
        <v>12</v>
      </c>
      <c r="FF80" t="s">
        <v>567</v>
      </c>
      <c r="FG80">
        <v>8014.2473</v>
      </c>
      <c r="FH80" s="277" t="e">
        <f t="shared" ref="FH80:FH85" si="27">FG80/SUMIF($FE$98:$FE$132,"="&amp;FE80,$FG$98:$FG$132)</f>
        <v>#DIV/0!</v>
      </c>
    </row>
    <row r="81" spans="1:164" ht="37.5">
      <c r="A81" s="205"/>
      <c r="B81" s="205" t="s">
        <v>714</v>
      </c>
      <c r="C81" s="400">
        <f>$D10*KTDB_TripDistribution_2035!T$12 * (1+KTDB_발생량도착량_증가율!$C$7) * (1+KTDB_발생량도착량_증가율!$D$8*5) * (1+KTDB_발생량도착량_증가율!$E$8*5)</f>
        <v>18.575362150870202</v>
      </c>
      <c r="D81" s="400">
        <f>$D10*KTDB_TripDistribution_2035!U$12 * (1+KTDB_발생량도착량_증가율!$C$7) * (1+KTDB_발생량도착량_증가율!$D$8*5) * (1+KTDB_발생량도착량_증가율!$E$8*5)</f>
        <v>134.43369606505556</v>
      </c>
      <c r="E81" s="400">
        <f>$D10*KTDB_TripDistribution_2035!V$12 * (1+KTDB_발생량도착량_증가율!$C$7) * (1+KTDB_발생량도착량_증가율!$D$8*5) * (1+KTDB_발생량도착량_증가율!$E$8*5)</f>
        <v>7.7121283919119801</v>
      </c>
      <c r="F81" s="400">
        <f>$D10*KTDB_TripDistribution_2035!W$12 * (1+KTDB_발생량도착량_증가율!$C$7) * (1+KTDB_발생량도착량_증가율!$D$8*5) * (1+KTDB_발생량도착량_증가율!$E$8*5)</f>
        <v>1.2119636027101019E-2</v>
      </c>
      <c r="G81" s="400">
        <f>$D10*KTDB_TripDistribution_2035!X$12 * (1+KTDB_발생량도착량_증가율!$C$7) * (1+KTDB_발생량도착량_증가율!$D$8*5) * (1+KTDB_발생량도착량_증가율!$E$8*5)</f>
        <v>4.5785291657937328E-2</v>
      </c>
      <c r="H81" s="400">
        <f>$D10*KTDB_TripDistribution_2035!Y$12 * (1+KTDB_발생량도착량_증가율!$C$7) * (1+KTDB_발생량도착량_증가율!$D$8*5) * (1+KTDB_발생량도착량_증가율!$E$8*5)</f>
        <v>160.77909153552275</v>
      </c>
      <c r="J81" s="230">
        <f t="shared" si="16"/>
        <v>160.77909153552281</v>
      </c>
      <c r="K81" s="206"/>
      <c r="L81" s="206" t="s">
        <v>714</v>
      </c>
      <c r="M81" s="206">
        <f>INDEX($A$78:$H$85,MATCH($L81,$B$78:$B$85,0),MATCH($M$77,$A$78:$H$78,0))*고양시_Modal_split!C$3 * 0.01</f>
        <v>5.2011014022436561E-2</v>
      </c>
      <c r="N81" s="206">
        <f>INDEX($A$78:$H$85,MATCH($L81,$B$78:$B$85,0),MATCH($M$77,$A$78:$H$78,0))*고양시_Modal_split!D$3 * 0.01</f>
        <v>8.7359928195542551</v>
      </c>
      <c r="O81" s="206">
        <f>INDEX($A$78:$H$85,MATCH($L81,$B$78:$B$85,0),MATCH($M$77,$A$78:$H$78,0))*고양시_Modal_split!E$3 * 0.01</f>
        <v>1.0569381063845145</v>
      </c>
      <c r="P81" s="206">
        <f>INDEX($A$78:$H$85,MATCH($L81,$B$78:$B$85,0),MATCH($M$77,$A$78:$H$78,0))*고양시_Modal_split!F$3 * 0.01</f>
        <v>1.7033607092347975</v>
      </c>
      <c r="Q81" s="206">
        <f>INDEX($A$78:$H$85,MATCH($L81,$B$78:$B$85,0),MATCH($M$77,$A$78:$H$78,0))*고양시_Modal_split!G$3 * 0.01</f>
        <v>0.17089333178800584</v>
      </c>
      <c r="R81" s="206">
        <f>INDEX($A$78:$H$85,MATCH($L81,$B$78:$B$85,0),MATCH($M$77,$A$78:$H$78,0))*고양시_Modal_split!H$3 * 0.01</f>
        <v>1.8575362150870204E-3</v>
      </c>
      <c r="S81" s="206">
        <f>INDEX($A$78:$H$85,MATCH($L81,$B$78:$B$85,0),MATCH($M$77,$A$78:$H$78,0))*고양시_Modal_split!I$3 * 0.01</f>
        <v>0.51639506779419153</v>
      </c>
      <c r="T81" s="206">
        <f>INDEX($A$78:$H$85,MATCH($L81,$B$78:$B$85,0),MATCH($M$77,$A$78:$H$78,0))*고양시_Modal_split!J$3 * 0.01</f>
        <v>5.65434023872489</v>
      </c>
      <c r="U81" s="206">
        <f>INDEX($A$78:$H$85,MATCH($L81,$B$78:$B$85,0),MATCH($M$77,$A$78:$H$78,0))*고양시_Modal_split!K$3 * 0.01</f>
        <v>2.7863043226305301E-2</v>
      </c>
      <c r="V81" s="206">
        <f>INDEX($A$78:$H$85,MATCH($L81,$B$78:$B$85,0),MATCH($M$77,$A$78:$H$78,0))*고양시_Modal_split!L$3 * 0.01</f>
        <v>0.56097593695628012</v>
      </c>
      <c r="W81" s="206">
        <f>INDEX($A$78:$H$85,MATCH($L81,$B$78:$B$85,0),MATCH($M$77,$A$78:$H$78,0))*고양시_Modal_split!M$3 * 0.01</f>
        <v>4.2723332947001459E-2</v>
      </c>
      <c r="X81" s="206">
        <f>INDEX($A$78:$H$85,MATCH($L81,$B$78:$B$85,0),MATCH($M$77,$A$78:$H$78,0))*고양시_Modal_split!N$3 * 0.01</f>
        <v>1.8575362150870203E-2</v>
      </c>
      <c r="Y81" s="206">
        <f>INDEX($A$78:$H$85,MATCH($L81,$B$78:$B$85,0),MATCH($M$77,$A$78:$H$78,0))*고양시_Modal_split!O$3 * 0.01</f>
        <v>3.3435651871566364E-2</v>
      </c>
      <c r="Z81" s="209">
        <f>INDEX($A$78:$H$85,MATCH($L81,$B$78:$B$85,0),MATCH($M$77,$A$78:$H$78,0))*고양시_Modal_split!P$3 * 0.01</f>
        <v>18.575362150870202</v>
      </c>
      <c r="AA81" s="207">
        <f>INDEX($A$78:$H$85,MATCH($L81,$B$78:$B$85,0),MATCH($AA$77,$A$78:$H$78,0))*고양시_Modal_split!C$3 * 0.01</f>
        <v>0.37641434898215553</v>
      </c>
      <c r="AB81" s="207">
        <f>INDEX($A$78:$H$85,MATCH($L81,$B$78:$B$85,0),MATCH($AA$77,$A$78:$H$78,0))*고양시_Modal_split!D$3 * 0.01</f>
        <v>63.224167259395628</v>
      </c>
      <c r="AC81" s="207">
        <f>INDEX($A$78:$H$85,MATCH($L81,$B$78:$B$85,0),MATCH($AA$77,$A$78:$H$78,0))*고양시_Modal_split!E$3 * 0.01</f>
        <v>7.6492773061016601</v>
      </c>
      <c r="AD81" s="207">
        <f>INDEX($A$78:$H$85,MATCH($L81,$B$78:$B$85,0),MATCH($AA$77,$A$78:$H$78,0))*고양시_Modal_split!F$3 * 0.01</f>
        <v>12.327569929165595</v>
      </c>
      <c r="AE81" s="207">
        <f>INDEX($A$78:$H$85,MATCH($L81,$B$78:$B$85,0),MATCH($AA$77,$A$78:$H$78,0))*고양시_Modal_split!G$3 * 0.01</f>
        <v>1.2367900037985111</v>
      </c>
      <c r="AF81" s="207">
        <f>INDEX($A$78:$H$85,MATCH($L81,$B$78:$B$85,0),MATCH($AA$77,$A$78:$H$78,0))*고양시_Modal_split!H$3 * 0.01</f>
        <v>1.3443369606505556E-2</v>
      </c>
      <c r="AG81" s="207">
        <f>INDEX($A$78:$H$85,MATCH($L81,$B$78:$B$85,0),MATCH($AA$77,$A$78:$H$78,0))*고양시_Modal_split!I$3 * 0.01</f>
        <v>3.7372567506085446</v>
      </c>
      <c r="AH81" s="207">
        <f>INDEX($A$78:$H$85,MATCH($L81,$B$78:$B$85,0),MATCH($AA$77,$A$78:$H$78,0))*고양시_Modal_split!J$3 * 0.01</f>
        <v>40.921617082202914</v>
      </c>
      <c r="AI81" s="207">
        <f>INDEX($A$78:$H$85,MATCH($L81,$B$78:$B$85,0),MATCH($AA$77,$A$78:$H$78,0))*고양시_Modal_split!K$3 * 0.01</f>
        <v>0.20165054409758335</v>
      </c>
      <c r="AJ81" s="207">
        <f>INDEX($A$78:$H$85,MATCH($L81,$B$78:$B$85,0),MATCH($AA$77,$A$78:$H$78,0))*고양시_Modal_split!L$3 * 0.01</f>
        <v>4.0598976211646782</v>
      </c>
      <c r="AK81" s="207">
        <f>INDEX($A$78:$H$85,MATCH($L81,$B$78:$B$85,0),MATCH($AA$77,$A$78:$H$78,0))*고양시_Modal_split!M$3 * 0.01</f>
        <v>0.30919750094962778</v>
      </c>
      <c r="AL81" s="207">
        <f>INDEX($A$78:$H$85,MATCH($L81,$B$78:$B$85,0),MATCH($AA$77,$A$78:$H$78,0))*고양시_Modal_split!N$3 * 0.01</f>
        <v>0.13443369606505556</v>
      </c>
      <c r="AM81" s="207">
        <f>INDEX($A$78:$H$85,MATCH($L81,$B$78:$B$85,0),MATCH($AA$77,$A$78:$H$78,0))*고양시_Modal_split!O$3 * 0.01</f>
        <v>0.2419806529171</v>
      </c>
      <c r="AN81" s="207">
        <f>INDEX($A$78:$H$85,MATCH($L81,$B$78:$B$85,0),MATCH($AA$77,$A$78:$H$78,0))*고양시_Modal_split!P$3 * 0.01</f>
        <v>134.43369606505556</v>
      </c>
      <c r="AO81" s="303">
        <f>INDEX($A$78:$H$85,MATCH($L38,$B$78:$B$85,0),MATCH($AO$77,$A$78:$H$78,0))*고양시_Modal_split!C$3 * 0.01</f>
        <v>2.1593959497353543E-2</v>
      </c>
      <c r="AP81" s="303">
        <f>INDEX($A$78:$H$85,MATCH($L38,$B$78:$B$85,0),MATCH($AO$77,$A$78:$H$78,0))*고양시_Modal_split!D$3 * 0.01</f>
        <v>3.6270139827162042</v>
      </c>
      <c r="AQ81" s="303">
        <f>INDEX($A$78:$H$85,MATCH($L38,$B$78:$B$85,0),MATCH($AO$77,$A$78:$H$78,0))*고양시_Modal_split!E$3 * 0.01</f>
        <v>0.43882010549979167</v>
      </c>
      <c r="AR81" s="303">
        <f>INDEX($A$78:$H$85,MATCH($L38,$B$78:$B$85,0),MATCH($AO$77,$A$78:$H$78,0))*고양시_Modal_split!F$3 * 0.01</f>
        <v>0.70720217353832848</v>
      </c>
      <c r="AS81" s="303">
        <f>INDEX($A$78:$H$85,MATCH($L38,$B$78:$B$85,0),MATCH($AO$77,$A$78:$H$78,0))*고양시_Modal_split!G$3 * 0.01</f>
        <v>7.0951581205590211E-2</v>
      </c>
      <c r="AT81" s="303">
        <f>INDEX($A$78:$H$85,MATCH($L38,$B$78:$B$85,0),MATCH($AO$77,$A$78:$H$78,0))*고양시_Modal_split!H$3 * 0.01</f>
        <v>7.7121283919119805E-4</v>
      </c>
      <c r="AU81" s="303">
        <f>INDEX($A$78:$H$85,MATCH($L38,$B$78:$B$85,0),MATCH($AO$77,$A$78:$H$78,0))*고양시_Modal_split!I$3 * 0.01</f>
        <v>0.21439716929515304</v>
      </c>
      <c r="AV81" s="303">
        <f>INDEX($A$78:$H$85,MATCH($L38,$B$78:$B$85,0),MATCH($AO$77,$A$78:$H$78,0))*고양시_Modal_split!J$3 * 0.01</f>
        <v>2.347571882498007</v>
      </c>
      <c r="AW81" s="303">
        <f>INDEX($A$78:$H$85,MATCH($L38,$B$78:$B$85,0),MATCH($AO$77,$A$78:$H$78,0))*고양시_Modal_split!K$3 * 0.01</f>
        <v>1.1568192587867969E-2</v>
      </c>
      <c r="AX81" s="303">
        <f>INDEX($A$78:$H$85,MATCH($L38,$B$78:$B$85,0),MATCH($AO$77,$A$78:$H$78,0))*고양시_Modal_split!L$3 * 0.01</f>
        <v>0.2329062774357418</v>
      </c>
      <c r="AY81" s="303">
        <f>INDEX($A$78:$H$85,MATCH($L38,$B$78:$B$85,0),MATCH($AO$77,$A$78:$H$78,0))*고양시_Modal_split!M$3 * 0.01</f>
        <v>1.7737895301397553E-2</v>
      </c>
      <c r="AZ81" s="303">
        <f>INDEX($A$78:$H$85,MATCH($L38,$B$78:$B$85,0),MATCH($AO$77,$A$78:$H$78,0))*고양시_Modal_split!N$3 * 0.01</f>
        <v>7.7121283919119816E-3</v>
      </c>
      <c r="BA81" s="207">
        <f>INDEX($A$78:$H$85,MATCH($L38,$B$78:$B$85,0),MATCH($AO$77,$A$78:$H$78,0))*고양시_Modal_split!O$3 * 0.01</f>
        <v>1.3881831105441564E-2</v>
      </c>
      <c r="BB81" s="207">
        <f>INDEX($A$78:$H$85,MATCH($L38,$B$78:$B$85,0),MATCH($AO$77,$A$78:$H$78,0))*고양시_Modal_split!P$3 * 0.01</f>
        <v>7.7121283919119801</v>
      </c>
      <c r="BC81" s="207">
        <f>INDEX($A$78:$H$85,MATCH($L81,$B$78:$B$85,0),MATCH($BC$77,$A$78:$H$78,0))*고양시_Modal_split!C$3 * 0.01</f>
        <v>3.3934980875882854E-5</v>
      </c>
      <c r="BD81" s="207">
        <f>INDEX($A$78:$H$85,MATCH($L81,$B$78:$B$85,0),MATCH($BC$77,$A$78:$H$78,0))*고양시_Modal_split!D$3 * 0.01</f>
        <v>5.69986482354561E-3</v>
      </c>
      <c r="BE81" s="207">
        <f>INDEX($A$78:$H$85,MATCH($L81,$B$78:$B$85,0),MATCH($BC$77,$A$78:$H$78,0))*고양시_Modal_split!E$3 * 0.01</f>
        <v>6.8960728994204787E-4</v>
      </c>
      <c r="BF81" s="207">
        <f>INDEX($A$78:$H$85,MATCH($L81,$B$78:$B$85,0),MATCH($BC$77,$A$78:$H$78,0))*고양시_Modal_split!F$3 * 0.01</f>
        <v>1.1113706236851634E-3</v>
      </c>
      <c r="BG81" s="207">
        <f>INDEX($A$78:$H$85,MATCH($L81,$B$78:$B$85,0),MATCH($BC$77,$A$78:$H$78,0))*고양시_Modal_split!G$3 * 0.01</f>
        <v>1.1150065144932936E-4</v>
      </c>
      <c r="BH81" s="207">
        <f>INDEX($A$78:$H$85,MATCH($L81,$B$78:$B$85,0),MATCH($BC$77,$A$78:$H$78,0))*고양시_Modal_split!H$3 * 0.01</f>
        <v>1.2119636027101019E-6</v>
      </c>
      <c r="BI81" s="207">
        <f>INDEX($A$78:$H$85,MATCH($L81,$B$78:$B$85,0),MATCH($BC$77,$A$78:$H$78,0))*고양시_Modal_split!I$3 * 0.01</f>
        <v>3.3692588155340836E-4</v>
      </c>
      <c r="BJ81" s="207">
        <f>INDEX($A$78:$H$85,MATCH($L81,$B$78:$B$85,0),MATCH($BC$77,$A$78:$H$78,0))*고양시_Modal_split!J$3 * 0.01</f>
        <v>3.6892172066495506E-3</v>
      </c>
      <c r="BK81" s="207">
        <f>INDEX($A$78:$H$85,MATCH($L81,$B$78:$B$85,0),MATCH($BC$77,$A$78:$H$78,0))*고양시_Modal_split!K$3 * 0.01</f>
        <v>1.8179454040651529E-5</v>
      </c>
      <c r="BL81" s="207">
        <f>INDEX($A$78:$H$85,MATCH($L81,$B$78:$B$85,0),MATCH($BC$77,$A$78:$H$78,0))*고양시_Modal_split!L$3 * 0.01</f>
        <v>3.6601300801845081E-4</v>
      </c>
      <c r="BM81" s="207">
        <f>INDEX($A$78:$H$85,MATCH($L81,$B$78:$B$85,0),MATCH($BC$77,$A$78:$H$78,0))*고양시_Modal_split!M$3 * 0.01</f>
        <v>2.7875162862332341E-5</v>
      </c>
      <c r="BN81" s="207">
        <f>INDEX($A$78:$H$85,MATCH($L81,$B$78:$B$85,0),MATCH($BC$77,$A$78:$H$78,0))*고양시_Modal_split!N$3 * 0.01</f>
        <v>1.2119636027101021E-5</v>
      </c>
      <c r="BO81" s="207">
        <f>INDEX($A$78:$H$85,MATCH($L81,$B$78:$B$85,0),MATCH($BC$77,$A$78:$H$78,0))*고양시_Modal_split!O$3 * 0.01</f>
        <v>2.1815344848781834E-5</v>
      </c>
      <c r="BP81" s="207">
        <f>INDEX($A$78:$H$85,MATCH($L81,$B$78:$B$85,0),MATCH($BC$77,$A$78:$H$78,0))*고양시_Modal_split!P$3 * 0.01</f>
        <v>1.2119636027101019E-2</v>
      </c>
      <c r="BQ81" s="207">
        <f>INDEX($A$78:$H$85,MATCH($L38,$B$78:$B$85,0),MATCH($BQ$77,$A$78:$H$78,0))*고양시_Modal_split!C$3 * 0.01</f>
        <v>1.2819881664222451E-4</v>
      </c>
      <c r="BR81" s="207">
        <f>INDEX($A$78:$H$85,MATCH($L38,$B$78:$B$85,0),MATCH($BQ$77,$A$78:$H$78,0))*고양시_Modal_split!D$3 * 0.01</f>
        <v>2.1532822666727926E-2</v>
      </c>
      <c r="BS81" s="207">
        <f>INDEX($A$78:$H$85,MATCH($L38,$B$78:$B$85,0),MATCH($BQ$77,$A$78:$H$78,0))*고양시_Modal_split!E$3 * 0.01</f>
        <v>2.6051830953366341E-3</v>
      </c>
      <c r="BT81" s="207">
        <f>INDEX($A$78:$H$85,MATCH($L38,$B$78:$B$85,0),MATCH($BQ$77,$A$78:$H$78,0))*고양시_Modal_split!F$3 * 0.01</f>
        <v>4.1985112450328536E-3</v>
      </c>
      <c r="BU81" s="207">
        <f>INDEX($A$78:$H$85,MATCH($L38,$B$78:$B$85,0),MATCH($BQ$77,$A$78:$H$78,0))*고양시_Modal_split!G$3 * 0.01</f>
        <v>4.2122468325302338E-4</v>
      </c>
      <c r="BV81" s="207">
        <f>INDEX($A$78:$H$85,MATCH($L38,$B$78:$B$85,0),MATCH($BQ$77,$A$78:$H$78,0))*고양시_Modal_split!H$3 * 0.01</f>
        <v>4.5785291657937327E-6</v>
      </c>
      <c r="BW81" s="207">
        <f>INDEX($A$78:$H$85,MATCH($L38,$B$78:$B$85,0),MATCH($BQ$77,$A$78:$H$78,0))*고양시_Modal_split!I$3 * 0.01</f>
        <v>1.2728311080906576E-3</v>
      </c>
      <c r="BX81" s="207">
        <f>INDEX($A$78:$H$85,MATCH($L38,$B$78:$B$85,0),MATCH($BQ$77,$A$78:$H$78,0))*고양시_Modal_split!J$3 * 0.01</f>
        <v>1.3937042780676123E-2</v>
      </c>
      <c r="BY81" s="207">
        <f>INDEX($A$78:$H$85,MATCH($L38,$B$78:$B$85,0),MATCH($BQ$77,$A$78:$H$78,0))*고양시_Modal_split!K$3 * 0.01</f>
        <v>6.8677937486905983E-5</v>
      </c>
      <c r="BZ81" s="207">
        <f>INDEX($A$78:$H$85,MATCH($L38,$B$78:$B$85,0),MATCH($BQ$77,$A$78:$H$78,0))*고양시_Modal_split!L$3 * 0.01</f>
        <v>1.3827158080697076E-3</v>
      </c>
      <c r="CA81" s="207">
        <f>INDEX($A$78:$H$85,MATCH($L38,$B$78:$B$85,0),MATCH($BQ$77,$A$78:$H$78,0))*고양시_Modal_split!M$3 * 0.01</f>
        <v>1.0530617081325584E-4</v>
      </c>
      <c r="CB81" s="207">
        <f>INDEX($A$78:$H$85,MATCH($L38,$B$78:$B$85,0),MATCH($BQ$77,$A$78:$H$78,0))*고양시_Modal_split!N$3 * 0.01</f>
        <v>4.5785291657937333E-5</v>
      </c>
      <c r="CC81" s="207">
        <f>INDEX($A$78:$H$85,MATCH($L38,$B$78:$B$85,0),MATCH($BQ$77,$A$78:$H$78,0))*고양시_Modal_split!O$3 * 0.01</f>
        <v>8.2413524984287188E-5</v>
      </c>
      <c r="CD81" s="207">
        <f>INDEX($A$78:$H$85,MATCH($L38,$B$78:$B$85,0),MATCH($BQ$77,$A$78:$H$78,0))*고양시_Modal_split!P$3 * 0.01</f>
        <v>4.5785291657937328E-2</v>
      </c>
      <c r="CE81" s="304">
        <f t="shared" si="21"/>
        <v>0.45018145629946377</v>
      </c>
      <c r="CF81" s="304">
        <f t="shared" si="17"/>
        <v>75.614406749156359</v>
      </c>
      <c r="CG81" s="304">
        <f t="shared" si="17"/>
        <v>9.1483303083712464</v>
      </c>
      <c r="CH81" s="304">
        <f t="shared" si="17"/>
        <v>14.743442693807438</v>
      </c>
      <c r="CI81" s="304">
        <f t="shared" si="17"/>
        <v>1.4791676421268098</v>
      </c>
      <c r="CJ81" s="304">
        <f t="shared" si="17"/>
        <v>1.6077909153552276E-2</v>
      </c>
      <c r="CK81" s="304">
        <f t="shared" si="17"/>
        <v>4.4696587446875338</v>
      </c>
      <c r="CL81" s="304">
        <f t="shared" si="17"/>
        <v>48.941155463413139</v>
      </c>
      <c r="CM81" s="304">
        <f t="shared" si="17"/>
        <v>0.24116863730328419</v>
      </c>
      <c r="CN81" s="304">
        <f t="shared" si="17"/>
        <v>4.855528564372789</v>
      </c>
      <c r="CO81" s="304">
        <f t="shared" si="17"/>
        <v>0.36979191053170246</v>
      </c>
      <c r="CP81" s="304">
        <f t="shared" si="17"/>
        <v>0.16077909153552278</v>
      </c>
      <c r="CQ81" s="304">
        <f t="shared" si="17"/>
        <v>0.28940236476394099</v>
      </c>
      <c r="CR81" s="304">
        <f t="shared" si="17"/>
        <v>160.77909153552281</v>
      </c>
      <c r="CS81" s="305">
        <f t="shared" si="22"/>
        <v>0</v>
      </c>
      <c r="CV81" s="265"/>
      <c r="CW81" s="265" t="s">
        <v>714</v>
      </c>
      <c r="CX81" s="267">
        <f>INDEX($M$77:$Z$85,MATCH($CW81,$L$77:$L$85,0),MATCH(CX$78,$M$78:$Z$78,0))/INDEX(고양시_재차인원!$D$4:$H$35,MATCH("고양시",고양시_재차인원!$B$4:$B$35,0),MATCH($CX$77,고양시_재차인원!$D$4:$H$4,0))</f>
        <v>7.7999935888877268</v>
      </c>
      <c r="CY81" s="267">
        <f>INDEX($M$77:$Z$85,MATCH($CW81,$L$77:$L$85,0),MATCH(CY$78,$M$78:$Z$78,0))/INDEX(고양시_재차인원!$K$4:$O$20,MATCH("경기도",고양시_재차인원!$K$4:$K$20,0),MATCH(CY$78,고양시_재차인원!$K$4:$O$4,0))</f>
        <v>6.4520188089163614E-5</v>
      </c>
      <c r="CZ81" s="267">
        <f>INDEX($M$77:$Z$85,MATCH($CW81,$L$77:$L$85,0),MATCH(CZ$78,$M$78:$Z$78,0))/INDEX(고양시_재차인원!$K$4:$O$20,MATCH("경기도",고양시_재차인원!$K$4:$K$20,0),MATCH(CZ$78,고양시_재차인원!$K$4:$O$4,0))</f>
        <v>1.7936612288787481E-2</v>
      </c>
      <c r="DA81" s="267">
        <f>INDEX($M$77:$Z$85,MATCH($CW81,$L$77:$L$85,0),MATCH(DA$78,$M$78:$Z$78,0))/INDEX(고양시_재차인원!$D$4:$H$35,MATCH("고양시",고양시_재차인원!$B$4:$B$35,0),MATCH($CX$77,고양시_재차인원!$D$4:$H$4,0))</f>
        <v>0.50087137228239287</v>
      </c>
      <c r="DB81" s="267">
        <f>INDEX($AA$77:$AN$85,MATCH($CW81,$L$77:$L$85,0),MATCH(DB$78,$AA$78:$AN$78,0))/INDEX(고양시_재차인원!$D$4:$H$35,MATCH("고양시",고양시_재차인원!$B$4:$B$35,0),MATCH($DB$77,고양시_재차인원!$D$4:$H$4,0))</f>
        <v>44.839834935741585</v>
      </c>
      <c r="DC81" s="267">
        <f>INDEX($AA$77:$AN$85,MATCH($CW81,$L$77:$L$85,0),MATCH(DC$78,$AA$78:$AN$78,0))/INDEX(고양시_재차인원!$K$4:$O$20,MATCH("경기도",고양시_재차인원!$K$4:$K$20,0),MATCH(DC$78,고양시_재차인원!$K$4:$O$4,0))</f>
        <v>4.6694580085118292E-4</v>
      </c>
      <c r="DD81" s="267">
        <f>INDEX($AA$77:$AN$85,MATCH($CW81,$L$77:$L$85,0),MATCH(DD$78,$AA$78:$AN$78,0))/INDEX(고양시_재차인원!$K$4:$O$20,MATCH("경기도",고양시_재차인원!$K$4:$K$20,0),MATCH(DD$78,고양시_재차인원!$K$4:$O$4,0))</f>
        <v>0.12981093263662885</v>
      </c>
      <c r="DE81" s="267">
        <f>INDEX($AA$77:$AN$85,MATCH($CW81,$L$77:$L$85,0),MATCH(DE$78,$AA$78:$AN$78,0))/INDEX(고양시_재차인원!$D$4:$H$35,MATCH("고양시",고양시_재차인원!$B$4:$B$35,0),MATCH($DB$77,고양시_재차인원!$D$4:$H$4,0))</f>
        <v>2.8793600150104104</v>
      </c>
      <c r="DF81" s="267">
        <f>INDEX($AO$77:$BB$85,MATCH($CW81,$L$77:$L$85,0),MATCH(DF$78,$AO$78:$BB$78,0))/INDEX(고양시_재차인원!$D$4:$H$35,MATCH("고양시",고양시_재차인원!$B$4:$B$35,0),MATCH($DF$77,고양시_재차인원!$D$4:$H$4,0))</f>
        <v>2.7900107559355418</v>
      </c>
      <c r="DG81" s="267">
        <f>INDEX($AO$77:$BB$85,MATCH($CW81,$L$77:$L$85,0),MATCH(DG$78,$AO$78:$BB$78,0))/INDEX(고양시_재차인원!$K$4:$O$20,MATCH("경기도",고양시_재차인원!$K$4:$K$20,0),MATCH(DG$78,고양시_재차인원!$K$4:$O$4,0))</f>
        <v>2.6787524806919001E-5</v>
      </c>
      <c r="DH81" s="267">
        <f>INDEX($AO$77:$BB$85,MATCH($CW81,$L$77:$L$85,0),MATCH(DH$78,$AO$78:$BB$78,0))/INDEX(고양시_재차인원!$K$4:$O$20,MATCH("경기도",고양시_재차인원!$K$4:$K$20,0),MATCH(DH$78,고양시_재차인원!$K$4:$O$4,0))</f>
        <v>7.446931896323482E-3</v>
      </c>
      <c r="DI81" s="267">
        <f>INDEX($AO$77:$BB$85,MATCH($CW81,$L$77:$L$85,0),MATCH(DI$78,$AO$78:$BB$78,0))/INDEX(고양시_재차인원!$D$4:$H$35,MATCH("고양시",고양시_재차인원!$B$4:$B$35,0),MATCH($DF$77,고양시_재차인원!$D$4:$H$4,0))</f>
        <v>0.17915867495057061</v>
      </c>
      <c r="DJ81" s="267">
        <f>INDEX($BC$77:$BP$85,MATCH($CW81,$L$77:$L$85,0),MATCH(DJ$78,$BC$78:$BP$78,0))/INDEX(고양시_재차인원!$D$4:$H$35,MATCH("고양시",고양시_재차인원!$B$4:$B$35,0),MATCH($DJ$77,고양시_재차인원!$D$4:$H$4,0))</f>
        <v>4.1910770761364778E-3</v>
      </c>
      <c r="DK81" s="267">
        <f>INDEX($BC$77:$BP$85,MATCH($CW81,$L$77:$L$85,0),MATCH(DK$78,$BC$78:$BP$78,0))/INDEX(고양시_재차인원!$K$4:$O$20,MATCH("경기도",고양시_재차인원!$K$4:$K$20,0),MATCH(DK$78,고양시_재차인원!$K$4:$O$4,0))</f>
        <v>4.2096686443560333E-8</v>
      </c>
      <c r="DL81" s="267">
        <f>INDEX($BC$77:$BP$85,MATCH($CW81,$L$77:$L$85,0),MATCH(DL$78,$BC$78:$BP$78,0))/INDEX(고양시_재차인원!$K$4:$O$20,MATCH("경기도",고양시_재차인원!$K$4:$K$20,0),MATCH(DL$78,고양시_재차인원!$K$4:$O$4,0))</f>
        <v>1.1702878831309774E-5</v>
      </c>
      <c r="DM81" s="267">
        <f>INDEX($BC$77:$BP$85,MATCH($CW81,$L$77:$L$85,0),MATCH(DM$78,$BC$78:$BP$78,0))/INDEX(고양시_재차인원!$D$4:$H$35,MATCH("고양시",고양시_재차인원!$B$4:$B$35,0),MATCH($DJ$77,고양시_재차인원!$D$4:$H$4,0))</f>
        <v>2.6912721177827263E-4</v>
      </c>
      <c r="DN81" s="267">
        <f>INDEX($BQ$77:$CD$85,MATCH($CW81,$L$77:$L$85,0),MATCH(DN$78,$BQ$78:$CD$78,0))/INDEX(고양시_재차인원!$D$4:$H$35,MATCH("고양시",고양시_재차인원!$B$4:$B$35,0),MATCH($DN$77,고양시_재차인원!$D$4:$H$4,0))</f>
        <v>1.7089541798990419E-2</v>
      </c>
      <c r="DO81" s="267">
        <f>INDEX($BQ$77:$CD$85,MATCH($CW81,$L$77:$L$85,0),MATCH(DO$78,$BQ$78:$CD$78,0))/INDEX(고양시_재차인원!$K$4:$O$20,MATCH("경기도",고양시_재차인원!$K$4:$K$20,0),MATCH(DO$78,고양시_재차인원!$K$4:$O$4,0))</f>
        <v>1.5903192656456174E-7</v>
      </c>
      <c r="DP81" s="267">
        <f>INDEX($BQ$77:$CD$85,MATCH($CW81,$L$77:$L$85,0),MATCH(DP$78,$BQ$78:$CD$78,0))/INDEX(고양시_재차인원!$K$4:$O$20,MATCH("경기도",고양시_재차인원!$K$4:$K$20,0),MATCH(DP$78,고양시_재차인원!$K$4:$O$4,0))</f>
        <v>4.4210875584948165E-5</v>
      </c>
      <c r="DQ81" s="267">
        <f>INDEX($BQ$77:$CD$85,MATCH($CW81,$L$77:$L$85,0),MATCH(DQ$78,$BQ$78:$CD$78,0))/INDEX(고양시_재차인원!$D$4:$H$35,MATCH("고양시",고양시_재차인원!$B$4:$B$35,0),MATCH($DN$77,고양시_재차인원!$D$4:$H$4,0))</f>
        <v>1.097393498468022E-3</v>
      </c>
      <c r="DR81" s="270">
        <f t="shared" si="23"/>
        <v>55.451119899439973</v>
      </c>
      <c r="DS81" s="270">
        <f t="shared" si="18"/>
        <v>5.584546423602737E-4</v>
      </c>
      <c r="DT81" s="270">
        <f t="shared" si="18"/>
        <v>0.15525039057615608</v>
      </c>
      <c r="DU81" s="270">
        <f t="shared" si="18"/>
        <v>3.5607565829536205</v>
      </c>
      <c r="DW81" s="278"/>
      <c r="DX81" s="278" t="s">
        <v>714</v>
      </c>
      <c r="DY81" s="281">
        <f t="shared" si="24"/>
        <v>59.011876482393596</v>
      </c>
      <c r="DZ81" s="281">
        <f t="shared" si="25"/>
        <v>0.15580884521851635</v>
      </c>
      <c r="EB81" s="278"/>
      <c r="EC81" s="278" t="s">
        <v>669</v>
      </c>
      <c r="ED81" s="281">
        <f t="shared" si="26"/>
        <v>59.011876482393596</v>
      </c>
      <c r="EE81" s="281">
        <f t="shared" si="19"/>
        <v>0.15580884521851635</v>
      </c>
      <c r="FE81" t="s">
        <v>12</v>
      </c>
      <c r="FF81" t="s">
        <v>610</v>
      </c>
      <c r="FG81">
        <v>5231.5074000000004</v>
      </c>
      <c r="FH81" s="277" t="e">
        <f t="shared" si="27"/>
        <v>#DIV/0!</v>
      </c>
    </row>
    <row r="82" spans="1:164" ht="37.5">
      <c r="A82" s="205"/>
      <c r="B82" s="205" t="s">
        <v>718</v>
      </c>
      <c r="C82" s="400">
        <f>$D11*KTDB_TripDistribution_2035!T$12 * (1+KTDB_발생량도착량_증가율!$C$7) * (1+KTDB_발생량도착량_증가율!$D$8*5) * (1+KTDB_발생량도착량_증가율!$E$8*5)</f>
        <v>0</v>
      </c>
      <c r="D82" s="400">
        <f>$D11*KTDB_TripDistribution_2035!U$12 * (1+KTDB_발생량도착량_증가율!$C$7) * (1+KTDB_발생량도착량_증가율!$D$8*5) * (1+KTDB_발생량도착량_증가율!$E$8*5)</f>
        <v>0</v>
      </c>
      <c r="E82" s="400">
        <f>$D11*KTDB_TripDistribution_2035!V$12 * (1+KTDB_발생량도착량_증가율!$C$7) * (1+KTDB_발생량도착량_증가율!$D$8*5) * (1+KTDB_발생량도착량_증가율!$E$8*5)</f>
        <v>0</v>
      </c>
      <c r="F82" s="400">
        <f>$D11*KTDB_TripDistribution_2035!W$12 * (1+KTDB_발생량도착량_증가율!$C$7) * (1+KTDB_발생량도착량_증가율!$D$8*5) * (1+KTDB_발생량도착량_증가율!$E$8*5)</f>
        <v>0</v>
      </c>
      <c r="G82" s="400">
        <f>$D11*KTDB_TripDistribution_2035!X$12 * (1+KTDB_발생량도착량_증가율!$C$7) * (1+KTDB_발생량도착량_증가율!$D$8*5) * (1+KTDB_발생량도착량_증가율!$E$8*5)</f>
        <v>0</v>
      </c>
      <c r="H82" s="400">
        <f>$D11*KTDB_TripDistribution_2035!Y$12 * (1+KTDB_발생량도착량_증가율!$C$7) * (1+KTDB_발생량도착량_증가율!$D$8*5) * (1+KTDB_발생량도착량_증가율!$E$8*5)</f>
        <v>0</v>
      </c>
      <c r="J82" s="230">
        <f t="shared" si="16"/>
        <v>0</v>
      </c>
      <c r="K82" s="206"/>
      <c r="L82" s="206" t="s">
        <v>718</v>
      </c>
      <c r="M82" s="206">
        <f>INDEX($A$78:$H$85,MATCH($L82,$B$78:$B$85,0),MATCH($M$77,$A$78:$H$78,0))*고양시_Modal_split!C$3 * 0.01</f>
        <v>0</v>
      </c>
      <c r="N82" s="206">
        <f>INDEX($A$78:$H$85,MATCH($L82,$B$78:$B$85,0),MATCH($M$77,$A$78:$H$78,0))*고양시_Modal_split!D$3 * 0.01</f>
        <v>0</v>
      </c>
      <c r="O82" s="206">
        <f>INDEX($A$78:$H$85,MATCH($L82,$B$78:$B$85,0),MATCH($M$77,$A$78:$H$78,0))*고양시_Modal_split!E$3 * 0.01</f>
        <v>0</v>
      </c>
      <c r="P82" s="206">
        <f>INDEX($A$78:$H$85,MATCH($L82,$B$78:$B$85,0),MATCH($M$77,$A$78:$H$78,0))*고양시_Modal_split!F$3 * 0.01</f>
        <v>0</v>
      </c>
      <c r="Q82" s="206">
        <f>INDEX($A$78:$H$85,MATCH($L82,$B$78:$B$85,0),MATCH($M$77,$A$78:$H$78,0))*고양시_Modal_split!G$3 * 0.01</f>
        <v>0</v>
      </c>
      <c r="R82" s="206">
        <f>INDEX($A$78:$H$85,MATCH($L82,$B$78:$B$85,0),MATCH($M$77,$A$78:$H$78,0))*고양시_Modal_split!H$3 * 0.01</f>
        <v>0</v>
      </c>
      <c r="S82" s="206">
        <f>INDEX($A$78:$H$85,MATCH($L82,$B$78:$B$85,0),MATCH($M$77,$A$78:$H$78,0))*고양시_Modal_split!I$3 * 0.01</f>
        <v>0</v>
      </c>
      <c r="T82" s="206">
        <f>INDEX($A$78:$H$85,MATCH($L82,$B$78:$B$85,0),MATCH($M$77,$A$78:$H$78,0))*고양시_Modal_split!J$3 * 0.01</f>
        <v>0</v>
      </c>
      <c r="U82" s="206">
        <f>INDEX($A$78:$H$85,MATCH($L82,$B$78:$B$85,0),MATCH($M$77,$A$78:$H$78,0))*고양시_Modal_split!K$3 * 0.01</f>
        <v>0</v>
      </c>
      <c r="V82" s="206">
        <f>INDEX($A$78:$H$85,MATCH($L82,$B$78:$B$85,0),MATCH($M$77,$A$78:$H$78,0))*고양시_Modal_split!L$3 * 0.01</f>
        <v>0</v>
      </c>
      <c r="W82" s="206">
        <f>INDEX($A$78:$H$85,MATCH($L82,$B$78:$B$85,0),MATCH($M$77,$A$78:$H$78,0))*고양시_Modal_split!M$3 * 0.01</f>
        <v>0</v>
      </c>
      <c r="X82" s="206">
        <f>INDEX($A$78:$H$85,MATCH($L82,$B$78:$B$85,0),MATCH($M$77,$A$78:$H$78,0))*고양시_Modal_split!N$3 * 0.01</f>
        <v>0</v>
      </c>
      <c r="Y82" s="206">
        <f>INDEX($A$78:$H$85,MATCH($L82,$B$78:$B$85,0),MATCH($M$77,$A$78:$H$78,0))*고양시_Modal_split!O$3 * 0.01</f>
        <v>0</v>
      </c>
      <c r="Z82" s="209">
        <f>INDEX($A$78:$H$85,MATCH($L82,$B$78:$B$85,0),MATCH($M$77,$A$78:$H$78,0))*고양시_Modal_split!P$3 * 0.01</f>
        <v>0</v>
      </c>
      <c r="AA82" s="207">
        <f>INDEX($A$78:$H$85,MATCH($L82,$B$78:$B$85,0),MATCH($AA$77,$A$78:$H$78,0))*고양시_Modal_split!C$3 * 0.01</f>
        <v>0</v>
      </c>
      <c r="AB82" s="207">
        <f>INDEX($A$78:$H$85,MATCH($L82,$B$78:$B$85,0),MATCH($AA$77,$A$78:$H$78,0))*고양시_Modal_split!D$3 * 0.01</f>
        <v>0</v>
      </c>
      <c r="AC82" s="207">
        <f>INDEX($A$78:$H$85,MATCH($L82,$B$78:$B$85,0),MATCH($AA$77,$A$78:$H$78,0))*고양시_Modal_split!E$3 * 0.01</f>
        <v>0</v>
      </c>
      <c r="AD82" s="207">
        <f>INDEX($A$78:$H$85,MATCH($L82,$B$78:$B$85,0),MATCH($AA$77,$A$78:$H$78,0))*고양시_Modal_split!F$3 * 0.01</f>
        <v>0</v>
      </c>
      <c r="AE82" s="207">
        <f>INDEX($A$78:$H$85,MATCH($L82,$B$78:$B$85,0),MATCH($AA$77,$A$78:$H$78,0))*고양시_Modal_split!G$3 * 0.01</f>
        <v>0</v>
      </c>
      <c r="AF82" s="207">
        <f>INDEX($A$78:$H$85,MATCH($L82,$B$78:$B$85,0),MATCH($AA$77,$A$78:$H$78,0))*고양시_Modal_split!H$3 * 0.01</f>
        <v>0</v>
      </c>
      <c r="AG82" s="207">
        <f>INDEX($A$78:$H$85,MATCH($L82,$B$78:$B$85,0),MATCH($AA$77,$A$78:$H$78,0))*고양시_Modal_split!I$3 * 0.01</f>
        <v>0</v>
      </c>
      <c r="AH82" s="207">
        <f>INDEX($A$78:$H$85,MATCH($L82,$B$78:$B$85,0),MATCH($AA$77,$A$78:$H$78,0))*고양시_Modal_split!J$3 * 0.01</f>
        <v>0</v>
      </c>
      <c r="AI82" s="207">
        <f>INDEX($A$78:$H$85,MATCH($L82,$B$78:$B$85,0),MATCH($AA$77,$A$78:$H$78,0))*고양시_Modal_split!K$3 * 0.01</f>
        <v>0</v>
      </c>
      <c r="AJ82" s="207">
        <f>INDEX($A$78:$H$85,MATCH($L82,$B$78:$B$85,0),MATCH($AA$77,$A$78:$H$78,0))*고양시_Modal_split!L$3 * 0.01</f>
        <v>0</v>
      </c>
      <c r="AK82" s="207">
        <f>INDEX($A$78:$H$85,MATCH($L82,$B$78:$B$85,0),MATCH($AA$77,$A$78:$H$78,0))*고양시_Modal_split!M$3 * 0.01</f>
        <v>0</v>
      </c>
      <c r="AL82" s="207">
        <f>INDEX($A$78:$H$85,MATCH($L82,$B$78:$B$85,0),MATCH($AA$77,$A$78:$H$78,0))*고양시_Modal_split!N$3 * 0.01</f>
        <v>0</v>
      </c>
      <c r="AM82" s="207">
        <f>INDEX($A$78:$H$85,MATCH($L82,$B$78:$B$85,0),MATCH($AA$77,$A$78:$H$78,0))*고양시_Modal_split!O$3 * 0.01</f>
        <v>0</v>
      </c>
      <c r="AN82" s="207">
        <f>INDEX($A$78:$H$85,MATCH($L82,$B$78:$B$85,0),MATCH($AA$77,$A$78:$H$78,0))*고양시_Modal_split!P$3 * 0.01</f>
        <v>0</v>
      </c>
      <c r="AO82" s="303">
        <f>INDEX($A$78:$H$85,MATCH($L39,$B$78:$B$85,0),MATCH($AO$77,$A$78:$H$78,0))*고양시_Modal_split!C$3 * 0.01</f>
        <v>0</v>
      </c>
      <c r="AP82" s="303">
        <f>INDEX($A$78:$H$85,MATCH($L39,$B$78:$B$85,0),MATCH($AO$77,$A$78:$H$78,0))*고양시_Modal_split!D$3 * 0.01</f>
        <v>0</v>
      </c>
      <c r="AQ82" s="303">
        <f>INDEX($A$78:$H$85,MATCH($L39,$B$78:$B$85,0),MATCH($AO$77,$A$78:$H$78,0))*고양시_Modal_split!E$3 * 0.01</f>
        <v>0</v>
      </c>
      <c r="AR82" s="303">
        <f>INDEX($A$78:$H$85,MATCH($L39,$B$78:$B$85,0),MATCH($AO$77,$A$78:$H$78,0))*고양시_Modal_split!F$3 * 0.01</f>
        <v>0</v>
      </c>
      <c r="AS82" s="303">
        <f>INDEX($A$78:$H$85,MATCH($L39,$B$78:$B$85,0),MATCH($AO$77,$A$78:$H$78,0))*고양시_Modal_split!G$3 * 0.01</f>
        <v>0</v>
      </c>
      <c r="AT82" s="303">
        <f>INDEX($A$78:$H$85,MATCH($L39,$B$78:$B$85,0),MATCH($AO$77,$A$78:$H$78,0))*고양시_Modal_split!H$3 * 0.01</f>
        <v>0</v>
      </c>
      <c r="AU82" s="303">
        <f>INDEX($A$78:$H$85,MATCH($L39,$B$78:$B$85,0),MATCH($AO$77,$A$78:$H$78,0))*고양시_Modal_split!I$3 * 0.01</f>
        <v>0</v>
      </c>
      <c r="AV82" s="303">
        <f>INDEX($A$78:$H$85,MATCH($L39,$B$78:$B$85,0),MATCH($AO$77,$A$78:$H$78,0))*고양시_Modal_split!J$3 * 0.01</f>
        <v>0</v>
      </c>
      <c r="AW82" s="303">
        <f>INDEX($A$78:$H$85,MATCH($L39,$B$78:$B$85,0),MATCH($AO$77,$A$78:$H$78,0))*고양시_Modal_split!K$3 * 0.01</f>
        <v>0</v>
      </c>
      <c r="AX82" s="303">
        <f>INDEX($A$78:$H$85,MATCH($L39,$B$78:$B$85,0),MATCH($AO$77,$A$78:$H$78,0))*고양시_Modal_split!L$3 * 0.01</f>
        <v>0</v>
      </c>
      <c r="AY82" s="303">
        <f>INDEX($A$78:$H$85,MATCH($L39,$B$78:$B$85,0),MATCH($AO$77,$A$78:$H$78,0))*고양시_Modal_split!M$3 * 0.01</f>
        <v>0</v>
      </c>
      <c r="AZ82" s="303">
        <f>INDEX($A$78:$H$85,MATCH($L39,$B$78:$B$85,0),MATCH($AO$77,$A$78:$H$78,0))*고양시_Modal_split!N$3 * 0.01</f>
        <v>0</v>
      </c>
      <c r="BA82" s="207">
        <f>INDEX($A$78:$H$85,MATCH($L39,$B$78:$B$85,0),MATCH($AO$77,$A$78:$H$78,0))*고양시_Modal_split!O$3 * 0.01</f>
        <v>0</v>
      </c>
      <c r="BB82" s="207">
        <f>INDEX($A$78:$H$85,MATCH($L39,$B$78:$B$85,0),MATCH($AO$77,$A$78:$H$78,0))*고양시_Modal_split!P$3 * 0.01</f>
        <v>0</v>
      </c>
      <c r="BC82" s="207">
        <f>INDEX($A$78:$H$85,MATCH($L82,$B$78:$B$85,0),MATCH($BC$77,$A$78:$H$78,0))*고양시_Modal_split!C$3 * 0.01</f>
        <v>0</v>
      </c>
      <c r="BD82" s="207">
        <f>INDEX($A$78:$H$85,MATCH($L82,$B$78:$B$85,0),MATCH($BC$77,$A$78:$H$78,0))*고양시_Modal_split!D$3 * 0.01</f>
        <v>0</v>
      </c>
      <c r="BE82" s="207">
        <f>INDEX($A$78:$H$85,MATCH($L82,$B$78:$B$85,0),MATCH($BC$77,$A$78:$H$78,0))*고양시_Modal_split!E$3 * 0.01</f>
        <v>0</v>
      </c>
      <c r="BF82" s="207">
        <f>INDEX($A$78:$H$85,MATCH($L82,$B$78:$B$85,0),MATCH($BC$77,$A$78:$H$78,0))*고양시_Modal_split!F$3 * 0.01</f>
        <v>0</v>
      </c>
      <c r="BG82" s="207">
        <f>INDEX($A$78:$H$85,MATCH($L82,$B$78:$B$85,0),MATCH($BC$77,$A$78:$H$78,0))*고양시_Modal_split!G$3 * 0.01</f>
        <v>0</v>
      </c>
      <c r="BH82" s="207">
        <f>INDEX($A$78:$H$85,MATCH($L82,$B$78:$B$85,0),MATCH($BC$77,$A$78:$H$78,0))*고양시_Modal_split!H$3 * 0.01</f>
        <v>0</v>
      </c>
      <c r="BI82" s="207">
        <f>INDEX($A$78:$H$85,MATCH($L82,$B$78:$B$85,0),MATCH($BC$77,$A$78:$H$78,0))*고양시_Modal_split!I$3 * 0.01</f>
        <v>0</v>
      </c>
      <c r="BJ82" s="207">
        <f>INDEX($A$78:$H$85,MATCH($L82,$B$78:$B$85,0),MATCH($BC$77,$A$78:$H$78,0))*고양시_Modal_split!J$3 * 0.01</f>
        <v>0</v>
      </c>
      <c r="BK82" s="207">
        <f>INDEX($A$78:$H$85,MATCH($L82,$B$78:$B$85,0),MATCH($BC$77,$A$78:$H$78,0))*고양시_Modal_split!K$3 * 0.01</f>
        <v>0</v>
      </c>
      <c r="BL82" s="207">
        <f>INDEX($A$78:$H$85,MATCH($L82,$B$78:$B$85,0),MATCH($BC$77,$A$78:$H$78,0))*고양시_Modal_split!L$3 * 0.01</f>
        <v>0</v>
      </c>
      <c r="BM82" s="207">
        <f>INDEX($A$78:$H$85,MATCH($L82,$B$78:$B$85,0),MATCH($BC$77,$A$78:$H$78,0))*고양시_Modal_split!M$3 * 0.01</f>
        <v>0</v>
      </c>
      <c r="BN82" s="207">
        <f>INDEX($A$78:$H$85,MATCH($L82,$B$78:$B$85,0),MATCH($BC$77,$A$78:$H$78,0))*고양시_Modal_split!N$3 * 0.01</f>
        <v>0</v>
      </c>
      <c r="BO82" s="207">
        <f>INDEX($A$78:$H$85,MATCH($L82,$B$78:$B$85,0),MATCH($BC$77,$A$78:$H$78,0))*고양시_Modal_split!O$3 * 0.01</f>
        <v>0</v>
      </c>
      <c r="BP82" s="207">
        <f>INDEX($A$78:$H$85,MATCH($L82,$B$78:$B$85,0),MATCH($BC$77,$A$78:$H$78,0))*고양시_Modal_split!P$3 * 0.01</f>
        <v>0</v>
      </c>
      <c r="BQ82" s="207">
        <f>INDEX($A$78:$H$85,MATCH($L39,$B$78:$B$85,0),MATCH($BQ$77,$A$78:$H$78,0))*고양시_Modal_split!C$3 * 0.01</f>
        <v>0</v>
      </c>
      <c r="BR82" s="207">
        <f>INDEX($A$78:$H$85,MATCH($L39,$B$78:$B$85,0),MATCH($BQ$77,$A$78:$H$78,0))*고양시_Modal_split!D$3 * 0.01</f>
        <v>0</v>
      </c>
      <c r="BS82" s="207">
        <f>INDEX($A$78:$H$85,MATCH($L39,$B$78:$B$85,0),MATCH($BQ$77,$A$78:$H$78,0))*고양시_Modal_split!E$3 * 0.01</f>
        <v>0</v>
      </c>
      <c r="BT82" s="207">
        <f>INDEX($A$78:$H$85,MATCH($L39,$B$78:$B$85,0),MATCH($BQ$77,$A$78:$H$78,0))*고양시_Modal_split!F$3 * 0.01</f>
        <v>0</v>
      </c>
      <c r="BU82" s="207">
        <f>INDEX($A$78:$H$85,MATCH($L39,$B$78:$B$85,0),MATCH($BQ$77,$A$78:$H$78,0))*고양시_Modal_split!G$3 * 0.01</f>
        <v>0</v>
      </c>
      <c r="BV82" s="207">
        <f>INDEX($A$78:$H$85,MATCH($L39,$B$78:$B$85,0),MATCH($BQ$77,$A$78:$H$78,0))*고양시_Modal_split!H$3 * 0.01</f>
        <v>0</v>
      </c>
      <c r="BW82" s="207">
        <f>INDEX($A$78:$H$85,MATCH($L39,$B$78:$B$85,0),MATCH($BQ$77,$A$78:$H$78,0))*고양시_Modal_split!I$3 * 0.01</f>
        <v>0</v>
      </c>
      <c r="BX82" s="207">
        <f>INDEX($A$78:$H$85,MATCH($L39,$B$78:$B$85,0),MATCH($BQ$77,$A$78:$H$78,0))*고양시_Modal_split!J$3 * 0.01</f>
        <v>0</v>
      </c>
      <c r="BY82" s="207">
        <f>INDEX($A$78:$H$85,MATCH($L39,$B$78:$B$85,0),MATCH($BQ$77,$A$78:$H$78,0))*고양시_Modal_split!K$3 * 0.01</f>
        <v>0</v>
      </c>
      <c r="BZ82" s="207">
        <f>INDEX($A$78:$H$85,MATCH($L39,$B$78:$B$85,0),MATCH($BQ$77,$A$78:$H$78,0))*고양시_Modal_split!L$3 * 0.01</f>
        <v>0</v>
      </c>
      <c r="CA82" s="207">
        <f>INDEX($A$78:$H$85,MATCH($L39,$B$78:$B$85,0),MATCH($BQ$77,$A$78:$H$78,0))*고양시_Modal_split!M$3 * 0.01</f>
        <v>0</v>
      </c>
      <c r="CB82" s="207">
        <f>INDEX($A$78:$H$85,MATCH($L39,$B$78:$B$85,0),MATCH($BQ$77,$A$78:$H$78,0))*고양시_Modal_split!N$3 * 0.01</f>
        <v>0</v>
      </c>
      <c r="CC82" s="207">
        <f>INDEX($A$78:$H$85,MATCH($L39,$B$78:$B$85,0),MATCH($BQ$77,$A$78:$H$78,0))*고양시_Modal_split!O$3 * 0.01</f>
        <v>0</v>
      </c>
      <c r="CD82" s="207">
        <f>INDEX($A$78:$H$85,MATCH($L39,$B$78:$B$85,0),MATCH($BQ$77,$A$78:$H$78,0))*고양시_Modal_split!P$3 * 0.01</f>
        <v>0</v>
      </c>
      <c r="CE82" s="304">
        <f t="shared" si="21"/>
        <v>0</v>
      </c>
      <c r="CF82" s="304">
        <f t="shared" si="17"/>
        <v>0</v>
      </c>
      <c r="CG82" s="304">
        <f t="shared" si="17"/>
        <v>0</v>
      </c>
      <c r="CH82" s="304">
        <f t="shared" si="17"/>
        <v>0</v>
      </c>
      <c r="CI82" s="304">
        <f t="shared" si="17"/>
        <v>0</v>
      </c>
      <c r="CJ82" s="304">
        <f t="shared" si="17"/>
        <v>0</v>
      </c>
      <c r="CK82" s="304">
        <f t="shared" si="17"/>
        <v>0</v>
      </c>
      <c r="CL82" s="304">
        <f t="shared" si="17"/>
        <v>0</v>
      </c>
      <c r="CM82" s="304">
        <f t="shared" si="17"/>
        <v>0</v>
      </c>
      <c r="CN82" s="304">
        <f t="shared" si="17"/>
        <v>0</v>
      </c>
      <c r="CO82" s="304">
        <f t="shared" si="17"/>
        <v>0</v>
      </c>
      <c r="CP82" s="304">
        <f t="shared" si="17"/>
        <v>0</v>
      </c>
      <c r="CQ82" s="304">
        <f t="shared" si="17"/>
        <v>0</v>
      </c>
      <c r="CR82" s="304">
        <f t="shared" si="17"/>
        <v>0</v>
      </c>
      <c r="CS82" s="305">
        <f t="shared" si="22"/>
        <v>0</v>
      </c>
      <c r="CV82" s="265"/>
      <c r="CW82" s="265" t="s">
        <v>718</v>
      </c>
      <c r="CX82" s="267">
        <f>INDEX($M$77:$Z$85,MATCH($CW82,$L$77:$L$85,0),MATCH(CX$78,$M$78:$Z$78,0))/INDEX(고양시_재차인원!$D$4:$H$35,MATCH("고양시",고양시_재차인원!$B$4:$B$35,0),MATCH($CX$77,고양시_재차인원!$D$4:$H$4,0))</f>
        <v>0</v>
      </c>
      <c r="CY82" s="267">
        <f>INDEX($M$77:$Z$85,MATCH($CW82,$L$77:$L$85,0),MATCH(CY$78,$M$78:$Z$78,0))/INDEX(고양시_재차인원!$K$4:$O$20,MATCH("경기도",고양시_재차인원!$K$4:$K$20,0),MATCH(CY$78,고양시_재차인원!$K$4:$O$4,0))</f>
        <v>0</v>
      </c>
      <c r="CZ82" s="267">
        <f>INDEX($M$77:$Z$85,MATCH($CW82,$L$77:$L$85,0),MATCH(CZ$78,$M$78:$Z$78,0))/INDEX(고양시_재차인원!$K$4:$O$20,MATCH("경기도",고양시_재차인원!$K$4:$K$20,0),MATCH(CZ$78,고양시_재차인원!$K$4:$O$4,0))</f>
        <v>0</v>
      </c>
      <c r="DA82" s="267">
        <f>INDEX($M$77:$Z$85,MATCH($CW82,$L$77:$L$85,0),MATCH(DA$78,$M$78:$Z$78,0))/INDEX(고양시_재차인원!$D$4:$H$35,MATCH("고양시",고양시_재차인원!$B$4:$B$35,0),MATCH($CX$77,고양시_재차인원!$D$4:$H$4,0))</f>
        <v>0</v>
      </c>
      <c r="DB82" s="267">
        <f>INDEX($AA$77:$AN$85,MATCH($CW82,$L$77:$L$85,0),MATCH(DB$78,$AA$78:$AN$78,0))/INDEX(고양시_재차인원!$D$4:$H$35,MATCH("고양시",고양시_재차인원!$B$4:$B$35,0),MATCH($DB$77,고양시_재차인원!$D$4:$H$4,0))</f>
        <v>0</v>
      </c>
      <c r="DC82" s="267">
        <f>INDEX($AA$77:$AN$85,MATCH($CW82,$L$77:$L$85,0),MATCH(DC$78,$AA$78:$AN$78,0))/INDEX(고양시_재차인원!$K$4:$O$20,MATCH("경기도",고양시_재차인원!$K$4:$K$20,0),MATCH(DC$78,고양시_재차인원!$K$4:$O$4,0))</f>
        <v>0</v>
      </c>
      <c r="DD82" s="267">
        <f>INDEX($AA$77:$AN$85,MATCH($CW82,$L$77:$L$85,0),MATCH(DD$78,$AA$78:$AN$78,0))/INDEX(고양시_재차인원!$K$4:$O$20,MATCH("경기도",고양시_재차인원!$K$4:$K$20,0),MATCH(DD$78,고양시_재차인원!$K$4:$O$4,0))</f>
        <v>0</v>
      </c>
      <c r="DE82" s="267">
        <f>INDEX($AA$77:$AN$85,MATCH($CW82,$L$77:$L$85,0),MATCH(DE$78,$AA$78:$AN$78,0))/INDEX(고양시_재차인원!$D$4:$H$35,MATCH("고양시",고양시_재차인원!$B$4:$B$35,0),MATCH($DB$77,고양시_재차인원!$D$4:$H$4,0))</f>
        <v>0</v>
      </c>
      <c r="DF82" s="267">
        <f>INDEX($AO$77:$BB$85,MATCH($CW82,$L$77:$L$85,0),MATCH(DF$78,$AO$78:$BB$78,0))/INDEX(고양시_재차인원!$D$4:$H$35,MATCH("고양시",고양시_재차인원!$B$4:$B$35,0),MATCH($DF$77,고양시_재차인원!$D$4:$H$4,0))</f>
        <v>0</v>
      </c>
      <c r="DG82" s="267">
        <f>INDEX($AO$77:$BB$85,MATCH($CW82,$L$77:$L$85,0),MATCH(DG$78,$AO$78:$BB$78,0))/INDEX(고양시_재차인원!$K$4:$O$20,MATCH("경기도",고양시_재차인원!$K$4:$K$20,0),MATCH(DG$78,고양시_재차인원!$K$4:$O$4,0))</f>
        <v>0</v>
      </c>
      <c r="DH82" s="267">
        <f>INDEX($AO$77:$BB$85,MATCH($CW82,$L$77:$L$85,0),MATCH(DH$78,$AO$78:$BB$78,0))/INDEX(고양시_재차인원!$K$4:$O$20,MATCH("경기도",고양시_재차인원!$K$4:$K$20,0),MATCH(DH$78,고양시_재차인원!$K$4:$O$4,0))</f>
        <v>0</v>
      </c>
      <c r="DI82" s="267">
        <f>INDEX($AO$77:$BB$85,MATCH($CW82,$L$77:$L$85,0),MATCH(DI$78,$AO$78:$BB$78,0))/INDEX(고양시_재차인원!$D$4:$H$35,MATCH("고양시",고양시_재차인원!$B$4:$B$35,0),MATCH($DF$77,고양시_재차인원!$D$4:$H$4,0))</f>
        <v>0</v>
      </c>
      <c r="DJ82" s="267">
        <f>INDEX($BC$77:$BP$85,MATCH($CW82,$L$77:$L$85,0),MATCH(DJ$78,$BC$78:$BP$78,0))/INDEX(고양시_재차인원!$D$4:$H$35,MATCH("고양시",고양시_재차인원!$B$4:$B$35,0),MATCH($DJ$77,고양시_재차인원!$D$4:$H$4,0))</f>
        <v>0</v>
      </c>
      <c r="DK82" s="267">
        <f>INDEX($BC$77:$BP$85,MATCH($CW82,$L$77:$L$85,0),MATCH(DK$78,$BC$78:$BP$78,0))/INDEX(고양시_재차인원!$K$4:$O$20,MATCH("경기도",고양시_재차인원!$K$4:$K$20,0),MATCH(DK$78,고양시_재차인원!$K$4:$O$4,0))</f>
        <v>0</v>
      </c>
      <c r="DL82" s="267">
        <f>INDEX($BC$77:$BP$85,MATCH($CW82,$L$77:$L$85,0),MATCH(DL$78,$BC$78:$BP$78,0))/INDEX(고양시_재차인원!$K$4:$O$20,MATCH("경기도",고양시_재차인원!$K$4:$K$20,0),MATCH(DL$78,고양시_재차인원!$K$4:$O$4,0))</f>
        <v>0</v>
      </c>
      <c r="DM82" s="267">
        <f>INDEX($BC$77:$BP$85,MATCH($CW82,$L$77:$L$85,0),MATCH(DM$78,$BC$78:$BP$78,0))/INDEX(고양시_재차인원!$D$4:$H$35,MATCH("고양시",고양시_재차인원!$B$4:$B$35,0),MATCH($DJ$77,고양시_재차인원!$D$4:$H$4,0))</f>
        <v>0</v>
      </c>
      <c r="DN82" s="267">
        <f>INDEX($BQ$77:$CD$85,MATCH($CW82,$L$77:$L$85,0),MATCH(DN$78,$BQ$78:$CD$78,0))/INDEX(고양시_재차인원!$D$4:$H$35,MATCH("고양시",고양시_재차인원!$B$4:$B$35,0),MATCH($DN$77,고양시_재차인원!$D$4:$H$4,0))</f>
        <v>0</v>
      </c>
      <c r="DO82" s="267">
        <f>INDEX($BQ$77:$CD$85,MATCH($CW82,$L$77:$L$85,0),MATCH(DO$78,$BQ$78:$CD$78,0))/INDEX(고양시_재차인원!$K$4:$O$20,MATCH("경기도",고양시_재차인원!$K$4:$K$20,0),MATCH(DO$78,고양시_재차인원!$K$4:$O$4,0))</f>
        <v>0</v>
      </c>
      <c r="DP82" s="267">
        <f>INDEX($BQ$77:$CD$85,MATCH($CW82,$L$77:$L$85,0),MATCH(DP$78,$BQ$78:$CD$78,0))/INDEX(고양시_재차인원!$K$4:$O$20,MATCH("경기도",고양시_재차인원!$K$4:$K$20,0),MATCH(DP$78,고양시_재차인원!$K$4:$O$4,0))</f>
        <v>0</v>
      </c>
      <c r="DQ82" s="267">
        <f>INDEX($BQ$77:$CD$85,MATCH($CW82,$L$77:$L$85,0),MATCH(DQ$78,$BQ$78:$CD$78,0))/INDEX(고양시_재차인원!$D$4:$H$35,MATCH("고양시",고양시_재차인원!$B$4:$B$35,0),MATCH($DN$77,고양시_재차인원!$D$4:$H$4,0))</f>
        <v>0</v>
      </c>
      <c r="DR82" s="270">
        <f t="shared" si="23"/>
        <v>0</v>
      </c>
      <c r="DS82" s="270">
        <f t="shared" si="18"/>
        <v>0</v>
      </c>
      <c r="DT82" s="270">
        <f t="shared" si="18"/>
        <v>0</v>
      </c>
      <c r="DU82" s="270">
        <f t="shared" si="18"/>
        <v>0</v>
      </c>
      <c r="DW82" s="278"/>
      <c r="DX82" s="278" t="s">
        <v>718</v>
      </c>
      <c r="DY82" s="281">
        <f t="shared" si="24"/>
        <v>0</v>
      </c>
      <c r="DZ82" s="281">
        <f t="shared" si="25"/>
        <v>0</v>
      </c>
      <c r="EB82" s="278"/>
      <c r="EC82" s="278" t="s">
        <v>671</v>
      </c>
      <c r="ED82" s="281">
        <f t="shared" si="26"/>
        <v>0</v>
      </c>
      <c r="EE82" s="281">
        <f t="shared" si="19"/>
        <v>0</v>
      </c>
      <c r="FE82" t="s">
        <v>12</v>
      </c>
      <c r="FF82" t="s">
        <v>359</v>
      </c>
      <c r="FG82">
        <v>5055.2204000000002</v>
      </c>
      <c r="FH82" s="277" t="e">
        <f t="shared" si="27"/>
        <v>#DIV/0!</v>
      </c>
    </row>
    <row r="83" spans="1:164" ht="25">
      <c r="A83" s="205"/>
      <c r="B83" s="205" t="s">
        <v>716</v>
      </c>
      <c r="C83" s="400">
        <f>$D12*KTDB_TripDistribution_2035!T$12 * (1+KTDB_발생량도착량_증가율!$C$7) * (1+KTDB_발생량도착량_증가율!$D$8*5) * (1+KTDB_발생량도착량_증가율!$E$8*5)</f>
        <v>50.99351010843985</v>
      </c>
      <c r="D83" s="400">
        <f>$D12*KTDB_TripDistribution_2035!U$12 * (1+KTDB_발생량도착량_증가율!$C$7) * (1+KTDB_발생량도착량_증가율!$D$8*5) * (1+KTDB_발생량도착량_증가율!$E$8*5)</f>
        <v>369.05046499387851</v>
      </c>
      <c r="E83" s="400">
        <f>$D12*KTDB_TripDistribution_2035!V$12 * (1+KTDB_발생량도착량_증가율!$C$7) * (1+KTDB_발생량도착량_증가율!$D$8*5) * (1+KTDB_발생량도착량_증가율!$E$8*5)</f>
        <v>21.171511700089575</v>
      </c>
      <c r="F83" s="400">
        <f>$D12*KTDB_TripDistribution_2035!W$12 * (1+KTDB_발생량도착량_증가율!$C$7) * (1+KTDB_발생량도착량_증가율!$D$8*5) * (1+KTDB_발생량도착량_증가율!$E$8*5)</f>
        <v>3.3271102724079862E-2</v>
      </c>
      <c r="G83" s="400">
        <f>$D12*KTDB_TripDistribution_2035!X$12 * (1+KTDB_발생량도착량_증가율!$C$7) * (1+KTDB_발생량도착량_증가율!$D$8*5) * (1+KTDB_발생량도착량_증가율!$E$8*5)</f>
        <v>0.12569083251319099</v>
      </c>
      <c r="H83" s="400">
        <f>$D12*KTDB_TripDistribution_2035!Y$12 * (1+KTDB_발생량도착량_증가율!$C$7) * (1+KTDB_발생량도착량_증가율!$D$8*5) * (1+KTDB_발생량도착량_증가율!$E$8*5)</f>
        <v>441.37444873764531</v>
      </c>
      <c r="J83" s="230">
        <f t="shared" si="16"/>
        <v>441.37444873764525</v>
      </c>
      <c r="K83" s="206"/>
      <c r="L83" s="206" t="s">
        <v>716</v>
      </c>
      <c r="M83" s="206">
        <f>INDEX($A$78:$H$85,MATCH($L83,$B$78:$B$85,0),MATCH($M$77,$A$78:$H$78,0))*고양시_Modal_split!C$3 * 0.01</f>
        <v>0.14278182830363156</v>
      </c>
      <c r="N83" s="206">
        <f>INDEX($A$78:$H$85,MATCH($L83,$B$78:$B$85,0),MATCH($M$77,$A$78:$H$78,0))*고양시_Modal_split!D$3 * 0.01</f>
        <v>23.982247803999261</v>
      </c>
      <c r="O83" s="206">
        <f>INDEX($A$78:$H$85,MATCH($L83,$B$78:$B$85,0),MATCH($M$77,$A$78:$H$78,0))*고양시_Modal_split!E$3 * 0.01</f>
        <v>2.9015307251702276</v>
      </c>
      <c r="P83" s="206">
        <f>INDEX($A$78:$H$85,MATCH($L83,$B$78:$B$85,0),MATCH($M$77,$A$78:$H$78,0))*고양시_Modal_split!F$3 * 0.01</f>
        <v>4.6761048769439348</v>
      </c>
      <c r="Q83" s="206">
        <f>INDEX($A$78:$H$85,MATCH($L83,$B$78:$B$85,0),MATCH($M$77,$A$78:$H$78,0))*고양시_Modal_split!G$3 * 0.01</f>
        <v>0.46914029299764659</v>
      </c>
      <c r="R83" s="206">
        <f>INDEX($A$78:$H$85,MATCH($L83,$B$78:$B$85,0),MATCH($M$77,$A$78:$H$78,0))*고양시_Modal_split!H$3 * 0.01</f>
        <v>5.0993510108439857E-3</v>
      </c>
      <c r="S83" s="206">
        <f>INDEX($A$78:$H$85,MATCH($L83,$B$78:$B$85,0),MATCH($M$77,$A$78:$H$78,0))*고양시_Modal_split!I$3 * 0.01</f>
        <v>1.4176195810146277</v>
      </c>
      <c r="T83" s="206">
        <f>INDEX($A$78:$H$85,MATCH($L83,$B$78:$B$85,0),MATCH($M$77,$A$78:$H$78,0))*고양시_Modal_split!J$3 * 0.01</f>
        <v>15.522424477009091</v>
      </c>
      <c r="U83" s="206">
        <f>INDEX($A$78:$H$85,MATCH($L83,$B$78:$B$85,0),MATCH($M$77,$A$78:$H$78,0))*고양시_Modal_split!K$3 * 0.01</f>
        <v>7.6490265162659762E-2</v>
      </c>
      <c r="V83" s="206">
        <f>INDEX($A$78:$H$85,MATCH($L83,$B$78:$B$85,0),MATCH($M$77,$A$78:$H$78,0))*고양시_Modal_split!L$3 * 0.01</f>
        <v>1.5400040052748836</v>
      </c>
      <c r="W83" s="206">
        <f>INDEX($A$78:$H$85,MATCH($L83,$B$78:$B$85,0),MATCH($M$77,$A$78:$H$78,0))*고양시_Modal_split!M$3 * 0.01</f>
        <v>0.11728507324941165</v>
      </c>
      <c r="X83" s="206">
        <f>INDEX($A$78:$H$85,MATCH($L83,$B$78:$B$85,0),MATCH($M$77,$A$78:$H$78,0))*고양시_Modal_split!N$3 * 0.01</f>
        <v>5.099351010843986E-2</v>
      </c>
      <c r="Y83" s="206">
        <f>INDEX($A$78:$H$85,MATCH($L83,$B$78:$B$85,0),MATCH($M$77,$A$78:$H$78,0))*고양시_Modal_split!O$3 * 0.01</f>
        <v>9.1788318195191732E-2</v>
      </c>
      <c r="Z83" s="209">
        <f>INDEX($A$78:$H$85,MATCH($L83,$B$78:$B$85,0),MATCH($M$77,$A$78:$H$78,0))*고양시_Modal_split!P$3 * 0.01</f>
        <v>50.99351010843985</v>
      </c>
      <c r="AA83" s="207">
        <f>INDEX($A$78:$H$85,MATCH($L83,$B$78:$B$85,0),MATCH($AA$77,$A$78:$H$78,0))*고양시_Modal_split!C$3 * 0.01</f>
        <v>1.0333413019828597</v>
      </c>
      <c r="AB83" s="207">
        <f>INDEX($A$78:$H$85,MATCH($L83,$B$78:$B$85,0),MATCH($AA$77,$A$78:$H$78,0))*고양시_Modal_split!D$3 * 0.01</f>
        <v>173.56443368662104</v>
      </c>
      <c r="AC83" s="207">
        <f>INDEX($A$78:$H$85,MATCH($L83,$B$78:$B$85,0),MATCH($AA$77,$A$78:$H$78,0))*고양시_Modal_split!E$3 * 0.01</f>
        <v>20.998971458151686</v>
      </c>
      <c r="AD83" s="207">
        <f>INDEX($A$78:$H$85,MATCH($L83,$B$78:$B$85,0),MATCH($AA$77,$A$78:$H$78,0))*고양시_Modal_split!F$3 * 0.01</f>
        <v>33.84192763993866</v>
      </c>
      <c r="AE83" s="207">
        <f>INDEX($A$78:$H$85,MATCH($L83,$B$78:$B$85,0),MATCH($AA$77,$A$78:$H$78,0))*고양시_Modal_split!G$3 * 0.01</f>
        <v>3.3952642779436819</v>
      </c>
      <c r="AF83" s="207">
        <f>INDEX($A$78:$H$85,MATCH($L83,$B$78:$B$85,0),MATCH($AA$77,$A$78:$H$78,0))*고양시_Modal_split!H$3 * 0.01</f>
        <v>3.6905046499387854E-2</v>
      </c>
      <c r="AG83" s="207">
        <f>INDEX($A$78:$H$85,MATCH($L83,$B$78:$B$85,0),MATCH($AA$77,$A$78:$H$78,0))*고양시_Modal_split!I$3 * 0.01</f>
        <v>10.259602926829821</v>
      </c>
      <c r="AH83" s="207">
        <f>INDEX($A$78:$H$85,MATCH($L83,$B$78:$B$85,0),MATCH($AA$77,$A$78:$H$78,0))*고양시_Modal_split!J$3 * 0.01</f>
        <v>112.33896154413662</v>
      </c>
      <c r="AI83" s="207">
        <f>INDEX($A$78:$H$85,MATCH($L83,$B$78:$B$85,0),MATCH($AA$77,$A$78:$H$78,0))*고양시_Modal_split!K$3 * 0.01</f>
        <v>0.55357569749081781</v>
      </c>
      <c r="AJ83" s="207">
        <f>INDEX($A$78:$H$85,MATCH($L83,$B$78:$B$85,0),MATCH($AA$77,$A$78:$H$78,0))*고양시_Modal_split!L$3 * 0.01</f>
        <v>11.145324042815131</v>
      </c>
      <c r="AK83" s="207">
        <f>INDEX($A$78:$H$85,MATCH($L83,$B$78:$B$85,0),MATCH($AA$77,$A$78:$H$78,0))*고양시_Modal_split!M$3 * 0.01</f>
        <v>0.84881606948592048</v>
      </c>
      <c r="AL83" s="207">
        <f>INDEX($A$78:$H$85,MATCH($L83,$B$78:$B$85,0),MATCH($AA$77,$A$78:$H$78,0))*고양시_Modal_split!N$3 * 0.01</f>
        <v>0.3690504649938785</v>
      </c>
      <c r="AM83" s="207">
        <f>INDEX($A$78:$H$85,MATCH($L83,$B$78:$B$85,0),MATCH($AA$77,$A$78:$H$78,0))*고양시_Modal_split!O$3 * 0.01</f>
        <v>0.66429083698898128</v>
      </c>
      <c r="AN83" s="207">
        <f>INDEX($A$78:$H$85,MATCH($L83,$B$78:$B$85,0),MATCH($AA$77,$A$78:$H$78,0))*고양시_Modal_split!P$3 * 0.01</f>
        <v>369.05046499387851</v>
      </c>
      <c r="AO83" s="303">
        <f>INDEX($A$78:$H$85,MATCH($L40,$B$78:$B$85,0),MATCH($AO$77,$A$78:$H$78,0))*고양시_Modal_split!C$3 * 0.01</f>
        <v>5.9280232760250809E-2</v>
      </c>
      <c r="AP83" s="303">
        <f>INDEX($A$78:$H$85,MATCH($L40,$B$78:$B$85,0),MATCH($AO$77,$A$78:$H$78,0))*고양시_Modal_split!D$3 * 0.01</f>
        <v>9.9569619525521276</v>
      </c>
      <c r="AQ83" s="303">
        <f>INDEX($A$78:$H$85,MATCH($L40,$B$78:$B$85,0),MATCH($AO$77,$A$78:$H$78,0))*고양시_Modal_split!E$3 * 0.01</f>
        <v>1.2046590157350967</v>
      </c>
      <c r="AR83" s="303">
        <f>INDEX($A$78:$H$85,MATCH($L40,$B$78:$B$85,0),MATCH($AO$77,$A$78:$H$78,0))*고양시_Modal_split!F$3 * 0.01</f>
        <v>1.9414276228982141</v>
      </c>
      <c r="AS83" s="303">
        <f>INDEX($A$78:$H$85,MATCH($L40,$B$78:$B$85,0),MATCH($AO$77,$A$78:$H$78,0))*고양시_Modal_split!G$3 * 0.01</f>
        <v>0.19477790764082406</v>
      </c>
      <c r="AT83" s="303">
        <f>INDEX($A$78:$H$85,MATCH($L40,$B$78:$B$85,0),MATCH($AO$77,$A$78:$H$78,0))*고양시_Modal_split!H$3 * 0.01</f>
        <v>2.1171511700089573E-3</v>
      </c>
      <c r="AU83" s="303">
        <f>INDEX($A$78:$H$85,MATCH($L40,$B$78:$B$85,0),MATCH($AO$77,$A$78:$H$78,0))*고양시_Modal_split!I$3 * 0.01</f>
        <v>0.58856802526249019</v>
      </c>
      <c r="AV83" s="303">
        <f>INDEX($A$78:$H$85,MATCH($L40,$B$78:$B$85,0),MATCH($AO$77,$A$78:$H$78,0))*고양시_Modal_split!J$3 * 0.01</f>
        <v>6.4446081615072677</v>
      </c>
      <c r="AW83" s="303">
        <f>INDEX($A$78:$H$85,MATCH($L40,$B$78:$B$85,0),MATCH($AO$77,$A$78:$H$78,0))*고양시_Modal_split!K$3 * 0.01</f>
        <v>3.175726755013436E-2</v>
      </c>
      <c r="AX83" s="303">
        <f>INDEX($A$78:$H$85,MATCH($L40,$B$78:$B$85,0),MATCH($AO$77,$A$78:$H$78,0))*고양시_Modal_split!L$3 * 0.01</f>
        <v>0.63937965334270519</v>
      </c>
      <c r="AY83" s="303">
        <f>INDEX($A$78:$H$85,MATCH($L40,$B$78:$B$85,0),MATCH($AO$77,$A$78:$H$78,0))*고양시_Modal_split!M$3 * 0.01</f>
        <v>4.8694476910206015E-2</v>
      </c>
      <c r="AZ83" s="303">
        <f>INDEX($A$78:$H$85,MATCH($L40,$B$78:$B$85,0),MATCH($AO$77,$A$78:$H$78,0))*고양시_Modal_split!N$3 * 0.01</f>
        <v>2.1171511700089574E-2</v>
      </c>
      <c r="BA83" s="207">
        <f>INDEX($A$78:$H$85,MATCH($L40,$B$78:$B$85,0),MATCH($AO$77,$A$78:$H$78,0))*고양시_Modal_split!O$3 * 0.01</f>
        <v>3.8108721060161235E-2</v>
      </c>
      <c r="BB83" s="207">
        <f>INDEX($A$78:$H$85,MATCH($L40,$B$78:$B$85,0),MATCH($AO$77,$A$78:$H$78,0))*고양시_Modal_split!P$3 * 0.01</f>
        <v>21.171511700089575</v>
      </c>
      <c r="BC83" s="207">
        <f>INDEX($A$78:$H$85,MATCH($L83,$B$78:$B$85,0),MATCH($BC$77,$A$78:$H$78,0))*고양시_Modal_split!C$3 * 0.01</f>
        <v>9.3159087627423608E-5</v>
      </c>
      <c r="BD83" s="207">
        <f>INDEX($A$78:$H$85,MATCH($L83,$B$78:$B$85,0),MATCH($BC$77,$A$78:$H$78,0))*고양시_Modal_split!D$3 * 0.01</f>
        <v>1.564739961113476E-2</v>
      </c>
      <c r="BE83" s="207">
        <f>INDEX($A$78:$H$85,MATCH($L83,$B$78:$B$85,0),MATCH($BC$77,$A$78:$H$78,0))*고양시_Modal_split!E$3 * 0.01</f>
        <v>1.8931257450001441E-3</v>
      </c>
      <c r="BF83" s="207">
        <f>INDEX($A$78:$H$85,MATCH($L83,$B$78:$B$85,0),MATCH($BC$77,$A$78:$H$78,0))*고양시_Modal_split!F$3 * 0.01</f>
        <v>3.0509601197981234E-3</v>
      </c>
      <c r="BG83" s="207">
        <f>INDEX($A$78:$H$85,MATCH($L83,$B$78:$B$85,0),MATCH($BC$77,$A$78:$H$78,0))*고양시_Modal_split!G$3 * 0.01</f>
        <v>3.060941450615347E-4</v>
      </c>
      <c r="BH83" s="207">
        <f>INDEX($A$78:$H$85,MATCH($L83,$B$78:$B$85,0),MATCH($BC$77,$A$78:$H$78,0))*고양시_Modal_split!H$3 * 0.01</f>
        <v>3.327110272407986E-6</v>
      </c>
      <c r="BI83" s="207">
        <f>INDEX($A$78:$H$85,MATCH($L83,$B$78:$B$85,0),MATCH($BC$77,$A$78:$H$78,0))*고양시_Modal_split!I$3 * 0.01</f>
        <v>9.2493665572942021E-4</v>
      </c>
      <c r="BJ83" s="207">
        <f>INDEX($A$78:$H$85,MATCH($L83,$B$78:$B$85,0),MATCH($BC$77,$A$78:$H$78,0))*고양시_Modal_split!J$3 * 0.01</f>
        <v>1.0127723669209911E-2</v>
      </c>
      <c r="BK83" s="207">
        <f>INDEX($A$78:$H$85,MATCH($L83,$B$78:$B$85,0),MATCH($BC$77,$A$78:$H$78,0))*고양시_Modal_split!K$3 * 0.01</f>
        <v>4.9906654086119793E-5</v>
      </c>
      <c r="BL83" s="207">
        <f>INDEX($A$78:$H$85,MATCH($L83,$B$78:$B$85,0),MATCH($BC$77,$A$78:$H$78,0))*고양시_Modal_split!L$3 * 0.01</f>
        <v>1.004787302267212E-3</v>
      </c>
      <c r="BM83" s="207">
        <f>INDEX($A$78:$H$85,MATCH($L83,$B$78:$B$85,0),MATCH($BC$77,$A$78:$H$78,0))*고양시_Modal_split!M$3 * 0.01</f>
        <v>7.6523536265383674E-5</v>
      </c>
      <c r="BN83" s="207">
        <f>INDEX($A$78:$H$85,MATCH($L83,$B$78:$B$85,0),MATCH($BC$77,$A$78:$H$78,0))*고양시_Modal_split!N$3 * 0.01</f>
        <v>3.327110272407986E-5</v>
      </c>
      <c r="BO83" s="207">
        <f>INDEX($A$78:$H$85,MATCH($L83,$B$78:$B$85,0),MATCH($BC$77,$A$78:$H$78,0))*고양시_Modal_split!O$3 * 0.01</f>
        <v>5.9887984903343748E-5</v>
      </c>
      <c r="BP83" s="207">
        <f>INDEX($A$78:$H$85,MATCH($L83,$B$78:$B$85,0),MATCH($BC$77,$A$78:$H$78,0))*고양시_Modal_split!P$3 * 0.01</f>
        <v>3.3271102724079862E-2</v>
      </c>
      <c r="BQ83" s="207">
        <f>INDEX($A$78:$H$85,MATCH($L40,$B$78:$B$85,0),MATCH($BQ$77,$A$78:$H$78,0))*고양시_Modal_split!C$3 * 0.01</f>
        <v>3.5193433103693472E-4</v>
      </c>
      <c r="BR83" s="207">
        <f>INDEX($A$78:$H$85,MATCH($L40,$B$78:$B$85,0),MATCH($BQ$77,$A$78:$H$78,0))*고양시_Modal_split!D$3 * 0.01</f>
        <v>5.9112398530953722E-2</v>
      </c>
      <c r="BS83" s="207">
        <f>INDEX($A$78:$H$85,MATCH($L40,$B$78:$B$85,0),MATCH($BQ$77,$A$78:$H$78,0))*고양시_Modal_split!E$3 * 0.01</f>
        <v>7.1518083700005666E-3</v>
      </c>
      <c r="BT83" s="207">
        <f>INDEX($A$78:$H$85,MATCH($L40,$B$78:$B$85,0),MATCH($BQ$77,$A$78:$H$78,0))*고양시_Modal_split!F$3 * 0.01</f>
        <v>1.1525849341459614E-2</v>
      </c>
      <c r="BU83" s="207">
        <f>INDEX($A$78:$H$85,MATCH($L40,$B$78:$B$85,0),MATCH($BQ$77,$A$78:$H$78,0))*고양시_Modal_split!G$3 * 0.01</f>
        <v>1.1563556591213571E-3</v>
      </c>
      <c r="BV83" s="207">
        <f>INDEX($A$78:$H$85,MATCH($L40,$B$78:$B$85,0),MATCH($BQ$77,$A$78:$H$78,0))*고양시_Modal_split!H$3 * 0.01</f>
        <v>1.25690832513191E-5</v>
      </c>
      <c r="BW83" s="207">
        <f>INDEX($A$78:$H$85,MATCH($L40,$B$78:$B$85,0),MATCH($BQ$77,$A$78:$H$78,0))*고양시_Modal_split!I$3 * 0.01</f>
        <v>3.4942051438667096E-3</v>
      </c>
      <c r="BX83" s="207">
        <f>INDEX($A$78:$H$85,MATCH($L40,$B$78:$B$85,0),MATCH($BQ$77,$A$78:$H$78,0))*고양시_Modal_split!J$3 * 0.01</f>
        <v>3.8260289417015342E-2</v>
      </c>
      <c r="BY83" s="207">
        <f>INDEX($A$78:$H$85,MATCH($L40,$B$78:$B$85,0),MATCH($BQ$77,$A$78:$H$78,0))*고양시_Modal_split!K$3 * 0.01</f>
        <v>1.8853624876978648E-4</v>
      </c>
      <c r="BZ83" s="207">
        <f>INDEX($A$78:$H$85,MATCH($L40,$B$78:$B$85,0),MATCH($BQ$77,$A$78:$H$78,0))*고양시_Modal_split!L$3 * 0.01</f>
        <v>3.7958631418983681E-3</v>
      </c>
      <c r="CA83" s="207">
        <f>INDEX($A$78:$H$85,MATCH($L40,$B$78:$B$85,0),MATCH($BQ$77,$A$78:$H$78,0))*고양시_Modal_split!M$3 * 0.01</f>
        <v>2.8908891478033927E-4</v>
      </c>
      <c r="CB83" s="207">
        <f>INDEX($A$78:$H$85,MATCH($L40,$B$78:$B$85,0),MATCH($BQ$77,$A$78:$H$78,0))*고양시_Modal_split!N$3 * 0.01</f>
        <v>1.2569083251319101E-4</v>
      </c>
      <c r="CC83" s="207">
        <f>INDEX($A$78:$H$85,MATCH($L40,$B$78:$B$85,0),MATCH($BQ$77,$A$78:$H$78,0))*고양시_Modal_split!O$3 * 0.01</f>
        <v>2.2624349852374379E-4</v>
      </c>
      <c r="CD83" s="207">
        <f>INDEX($A$78:$H$85,MATCH($L40,$B$78:$B$85,0),MATCH($BQ$77,$A$78:$H$78,0))*고양시_Modal_split!P$3 * 0.01</f>
        <v>0.12569083251319099</v>
      </c>
      <c r="CE83" s="304">
        <f t="shared" si="21"/>
        <v>1.2358484564654064</v>
      </c>
      <c r="CF83" s="304">
        <f t="shared" si="17"/>
        <v>207.5784032413145</v>
      </c>
      <c r="CG83" s="304">
        <f t="shared" si="17"/>
        <v>25.114206133172011</v>
      </c>
      <c r="CH83" s="304">
        <f t="shared" si="17"/>
        <v>40.474036949242077</v>
      </c>
      <c r="CI83" s="304">
        <f t="shared" si="17"/>
        <v>4.0606449283863357</v>
      </c>
      <c r="CJ83" s="304">
        <f t="shared" si="17"/>
        <v>4.4137444873764524E-2</v>
      </c>
      <c r="CK83" s="304">
        <f t="shared" si="17"/>
        <v>12.270209674906534</v>
      </c>
      <c r="CL83" s="304">
        <f t="shared" si="17"/>
        <v>134.35438219573922</v>
      </c>
      <c r="CM83" s="304">
        <f t="shared" si="17"/>
        <v>0.66206167310646791</v>
      </c>
      <c r="CN83" s="304">
        <f t="shared" si="17"/>
        <v>13.329508351876887</v>
      </c>
      <c r="CO83" s="304">
        <f t="shared" si="17"/>
        <v>1.0151612320965839</v>
      </c>
      <c r="CP83" s="304">
        <f t="shared" si="17"/>
        <v>0.4413744487376452</v>
      </c>
      <c r="CQ83" s="304">
        <f t="shared" si="17"/>
        <v>0.79447400772776133</v>
      </c>
      <c r="CR83" s="304">
        <f t="shared" si="17"/>
        <v>441.37444873764525</v>
      </c>
      <c r="CS83" s="305">
        <f t="shared" si="22"/>
        <v>0</v>
      </c>
      <c r="CV83" s="265"/>
      <c r="CW83" s="265" t="s">
        <v>716</v>
      </c>
      <c r="CX83" s="267">
        <f>INDEX($M$77:$Z$85,MATCH($CW83,$L$77:$L$85,0),MATCH(CX$78,$M$78:$Z$78,0))/INDEX(고양시_재차인원!$D$4:$H$35,MATCH("고양시",고양시_재차인원!$B$4:$B$35,0),MATCH($CX$77,고양시_재차인원!$D$4:$H$4,0))</f>
        <v>21.412721253570766</v>
      </c>
      <c r="CY83" s="267">
        <f>INDEX($M$77:$Z$85,MATCH($CW83,$L$77:$L$85,0),MATCH(CY$78,$M$78:$Z$78,0))/INDEX(고양시_재차인원!$K$4:$O$20,MATCH("경기도",고양시_재차인원!$K$4:$K$20,0),MATCH(CY$78,고양시_재차인원!$K$4:$O$4,0))</f>
        <v>1.7712229978617526E-4</v>
      </c>
      <c r="CZ83" s="267">
        <f>INDEX($M$77:$Z$85,MATCH($CW83,$L$77:$L$85,0),MATCH(CZ$78,$M$78:$Z$78,0))/INDEX(고양시_재차인원!$K$4:$O$20,MATCH("경기도",고양시_재차인원!$K$4:$K$20,0),MATCH(CZ$78,고양시_재차인원!$K$4:$O$4,0))</f>
        <v>4.9239999340556714E-2</v>
      </c>
      <c r="DA83" s="267">
        <f>INDEX($M$77:$Z$85,MATCH($CW83,$L$77:$L$85,0),MATCH(DA$78,$M$78:$Z$78,0))/INDEX(고양시_재차인원!$D$4:$H$35,MATCH("고양시",고양시_재차인원!$B$4:$B$35,0),MATCH($CX$77,고양시_재차인원!$D$4:$H$4,0))</f>
        <v>1.3750035761382888</v>
      </c>
      <c r="DB83" s="267">
        <f>INDEX($AA$77:$AN$85,MATCH($CW83,$L$77:$L$85,0),MATCH(DB$78,$AA$78:$AN$78,0))/INDEX(고양시_재차인원!$D$4:$H$35,MATCH("고양시",고양시_재차인원!$B$4:$B$35,0),MATCH($DB$77,고양시_재차인원!$D$4:$H$4,0))</f>
        <v>123.09534304015678</v>
      </c>
      <c r="DC83" s="267">
        <f>INDEX($AA$77:$AN$85,MATCH($CW83,$L$77:$L$85,0),MATCH(DC$78,$AA$78:$AN$78,0))/INDEX(고양시_재차인원!$K$4:$O$20,MATCH("경기도",고양시_재차인원!$K$4:$K$20,0),MATCH(DC$78,고양시_재차인원!$K$4:$O$4,0))</f>
        <v>1.2818703195341388E-3</v>
      </c>
      <c r="DD83" s="267">
        <f>INDEX($AA$77:$AN$85,MATCH($CW83,$L$77:$L$85,0),MATCH(DD$78,$AA$78:$AN$78,0))/INDEX(고양시_재차인원!$K$4:$O$20,MATCH("경기도",고양시_재차인원!$K$4:$K$20,0),MATCH(DD$78,고양시_재차인원!$K$4:$O$4,0))</f>
        <v>0.35635994883049049</v>
      </c>
      <c r="DE83" s="267">
        <f>INDEX($AA$77:$AN$85,MATCH($CW83,$L$77:$L$85,0),MATCH(DE$78,$AA$78:$AN$78,0))/INDEX(고양시_재차인원!$D$4:$H$35,MATCH("고양시",고양시_재차인원!$B$4:$B$35,0),MATCH($DB$77,고양시_재차인원!$D$4:$H$4,0))</f>
        <v>7.9044851367483204</v>
      </c>
      <c r="DF83" s="267">
        <f>INDEX($AO$77:$BB$85,MATCH($CW83,$L$77:$L$85,0),MATCH(DF$78,$AO$78:$BB$78,0))/INDEX(고양시_재차인원!$D$4:$H$35,MATCH("고양시",고양시_재차인원!$B$4:$B$35,0),MATCH($DF$77,고양시_재차인원!$D$4:$H$4,0))</f>
        <v>7.6592015019631745</v>
      </c>
      <c r="DG83" s="267">
        <f>INDEX($AO$77:$BB$85,MATCH($CW83,$L$77:$L$85,0),MATCH(DG$78,$AO$78:$BB$78,0))/INDEX(고양시_재차인원!$K$4:$O$20,MATCH("경기도",고양시_재차인원!$K$4:$K$20,0),MATCH(DG$78,고양시_재차인원!$K$4:$O$4,0))</f>
        <v>7.3537727336191639E-5</v>
      </c>
      <c r="DH83" s="267">
        <f>INDEX($AO$77:$BB$85,MATCH($CW83,$L$77:$L$85,0),MATCH(DH$78,$AO$78:$BB$78,0))/INDEX(고양시_재차인원!$K$4:$O$20,MATCH("경기도",고양시_재차인원!$K$4:$K$20,0),MATCH(DH$78,고양시_재차인원!$K$4:$O$4,0))</f>
        <v>2.044348819946128E-2</v>
      </c>
      <c r="DI83" s="267">
        <f>INDEX($AO$77:$BB$85,MATCH($CW83,$L$77:$L$85,0),MATCH(DI$78,$AO$78:$BB$78,0))/INDEX(고양시_재차인원!$D$4:$H$35,MATCH("고양시",고양시_재차인원!$B$4:$B$35,0),MATCH($DF$77,고양시_재차인원!$D$4:$H$4,0))</f>
        <v>0.49183050257131167</v>
      </c>
      <c r="DJ83" s="267">
        <f>INDEX($BC$77:$BP$85,MATCH($CW83,$L$77:$L$85,0),MATCH(DJ$78,$BC$78:$BP$78,0))/INDEX(고양시_재차인원!$D$4:$H$35,MATCH("고양시",고양시_재차인원!$B$4:$B$35,0),MATCH($DJ$77,고양시_재차인원!$D$4:$H$4,0))</f>
        <v>1.1505440890540264E-2</v>
      </c>
      <c r="DK83" s="267">
        <f>INDEX($BC$77:$BP$85,MATCH($CW83,$L$77:$L$85,0),MATCH(DK$78,$BC$78:$BP$78,0))/INDEX(고양시_재차인원!$K$4:$O$20,MATCH("경기도",고양시_재차인원!$K$4:$K$20,0),MATCH(DK$78,고양시_재차인원!$K$4:$O$4,0))</f>
        <v>1.1556478889920062E-7</v>
      </c>
      <c r="DL83" s="267">
        <f>INDEX($BC$77:$BP$85,MATCH($CW83,$L$77:$L$85,0),MATCH(DL$78,$BC$78:$BP$78,0))/INDEX(고양시_재차인원!$K$4:$O$20,MATCH("경기도",고양시_재차인원!$K$4:$K$20,0),MATCH(DL$78,고양시_재차인원!$K$4:$O$4,0))</f>
        <v>3.2127011313977776E-5</v>
      </c>
      <c r="DM83" s="267">
        <f>INDEX($BC$77:$BP$85,MATCH($CW83,$L$77:$L$85,0),MATCH(DM$78,$BC$78:$BP$78,0))/INDEX(고양시_재차인원!$D$4:$H$35,MATCH("고양시",고양시_재차인원!$B$4:$B$35,0),MATCH($DJ$77,고양시_재차인원!$D$4:$H$4,0))</f>
        <v>7.3881419284353819E-4</v>
      </c>
      <c r="DN83" s="267">
        <f>INDEX($BQ$77:$CD$85,MATCH($CW83,$L$77:$L$85,0),MATCH(DN$78,$BQ$78:$CD$78,0))/INDEX(고양시_재차인원!$D$4:$H$35,MATCH("고양시",고양시_재차인원!$B$4:$B$35,0),MATCH($DN$77,고양시_재차인원!$D$4:$H$4,0))</f>
        <v>4.6914602008693428E-2</v>
      </c>
      <c r="DO83" s="267">
        <f>INDEX($BQ$77:$CD$85,MATCH($CW83,$L$77:$L$85,0),MATCH(DO$78,$BQ$78:$CD$78,0))/INDEX(고양시_재차인원!$K$4:$O$20,MATCH("경기도",고양시_재차인원!$K$4:$K$20,0),MATCH(DO$78,고양시_재차인원!$K$4:$O$4,0))</f>
        <v>4.365780913969816E-7</v>
      </c>
      <c r="DP83" s="267">
        <f>INDEX($BQ$77:$CD$85,MATCH($CW83,$L$77:$L$85,0),MATCH(DP$78,$BQ$78:$CD$78,0))/INDEX(고양시_재차인원!$K$4:$O$20,MATCH("경기도",고양시_재차인원!$K$4:$K$20,0),MATCH(DP$78,고양시_재차인원!$K$4:$O$4,0))</f>
        <v>1.2136870940836088E-4</v>
      </c>
      <c r="DQ83" s="267">
        <f>INDEX($BQ$77:$CD$85,MATCH($CW83,$L$77:$L$85,0),MATCH(DQ$78,$BQ$78:$CD$78,0))/INDEX(고양시_재차인원!$D$4:$H$35,MATCH("고양시",고양시_재차인원!$B$4:$B$35,0),MATCH($DN$77,고양시_재차인원!$D$4:$H$4,0))</f>
        <v>3.0125897951574351E-3</v>
      </c>
      <c r="DR83" s="270">
        <f t="shared" si="23"/>
        <v>152.22568583858995</v>
      </c>
      <c r="DS83" s="270">
        <f t="shared" si="18"/>
        <v>1.533082489536802E-3</v>
      </c>
      <c r="DT83" s="270">
        <f t="shared" si="18"/>
        <v>0.42619693209123088</v>
      </c>
      <c r="DU83" s="270">
        <f t="shared" si="18"/>
        <v>9.7750706194459198</v>
      </c>
      <c r="DW83" s="278"/>
      <c r="DX83" s="278" t="s">
        <v>716</v>
      </c>
      <c r="DY83" s="281">
        <f t="shared" si="24"/>
        <v>162.00075645803588</v>
      </c>
      <c r="DZ83" s="281">
        <f t="shared" si="25"/>
        <v>0.4277300145807677</v>
      </c>
      <c r="EB83" s="278"/>
      <c r="EC83" s="278" t="s">
        <v>673</v>
      </c>
      <c r="ED83" s="281">
        <f t="shared" si="26"/>
        <v>162.00075645803588</v>
      </c>
      <c r="EE83" s="281">
        <f t="shared" si="19"/>
        <v>0.4277300145807677</v>
      </c>
      <c r="FE83" t="s">
        <v>12</v>
      </c>
      <c r="FF83" t="s">
        <v>360</v>
      </c>
      <c r="FG83">
        <v>6559.1377000000002</v>
      </c>
      <c r="FH83" s="277" t="e">
        <f t="shared" si="27"/>
        <v>#DIV/0!</v>
      </c>
    </row>
    <row r="84" spans="1:164" ht="37.5">
      <c r="A84" s="205"/>
      <c r="B84" s="205" t="s">
        <v>720</v>
      </c>
      <c r="C84" s="400">
        <f>$D13*KTDB_TripDistribution_2035!T$12 * (1+KTDB_발생량도착량_증가율!$C$7) * (1+KTDB_발생량도착량_증가율!$D$8*5) * (1+KTDB_발생량도착량_증가율!$E$8*5)</f>
        <v>5.9157204302134394</v>
      </c>
      <c r="D84" s="400">
        <f>$D13*KTDB_TripDistribution_2035!U$12 * (1+KTDB_발생량도착량_증가율!$C$7) * (1+KTDB_발생량도착량_증가율!$D$8*5) * (1+KTDB_발생량도착량_증가율!$E$8*5)</f>
        <v>42.813279001610049</v>
      </c>
      <c r="E84" s="400">
        <f>$D13*KTDB_TripDistribution_2035!V$12 * (1+KTDB_발생량도착량_증가율!$C$7) * (1+KTDB_발생량도착량_증가율!$D$8*5) * (1+KTDB_발생량도착량_증가율!$E$8*5)</f>
        <v>2.4560918445579554</v>
      </c>
      <c r="F84" s="400">
        <f>$D13*KTDB_TripDistribution_2035!W$12 * (1+KTDB_발생량도착량_증가율!$C$7) * (1+KTDB_발생량도착량_증가율!$D$8*5) * (1+KTDB_발생량도착량_증가율!$E$8*5)</f>
        <v>3.8597566965289862E-3</v>
      </c>
      <c r="G84" s="400">
        <f>$D13*KTDB_TripDistribution_2035!X$12 * (1+KTDB_발생량도착량_증가율!$C$7) * (1+KTDB_발생량도착량_증가율!$D$8*5) * (1+KTDB_발생량도착량_증가율!$E$8*5)</f>
        <v>1.4581303075776217E-2</v>
      </c>
      <c r="H84" s="400">
        <f>$D13*KTDB_TripDistribution_2035!Y$12 * (1+KTDB_발생량도착량_증가율!$C$7) * (1+KTDB_발생량도착량_증가율!$D$8*5) * (1+KTDB_발생량도착량_증가율!$E$8*5)</f>
        <v>51.203532336153749</v>
      </c>
      <c r="K84" s="206"/>
      <c r="L84" s="206" t="s">
        <v>720</v>
      </c>
      <c r="M84" s="206">
        <f>INDEX($A$78:$H$85,MATCH($L84,$B$78:$B$85,0),MATCH($M$77,$A$78:$H$78,0))*고양시_Modal_split!C$3 * 0.01</f>
        <v>1.6564017204597631E-2</v>
      </c>
      <c r="N84" s="206">
        <f>INDEX($A$78:$H$85,MATCH($L84,$B$78:$B$85,0),MATCH($M$77,$A$78:$H$78,0))*고양시_Modal_split!D$3 * 0.01</f>
        <v>2.7821633183293808</v>
      </c>
      <c r="O84" s="206">
        <f>INDEX($A$78:$H$85,MATCH($L84,$B$78:$B$85,0),MATCH($M$77,$A$78:$H$78,0))*고양시_Modal_split!E$3 * 0.01</f>
        <v>0.33660449247914465</v>
      </c>
      <c r="P84" s="206">
        <f>INDEX($A$78:$H$85,MATCH($L84,$B$78:$B$85,0),MATCH($M$77,$A$78:$H$78,0))*고양시_Modal_split!F$3 * 0.01</f>
        <v>0.54247156345057246</v>
      </c>
      <c r="Q84" s="206">
        <f>INDEX($A$78:$H$85,MATCH($L84,$B$78:$B$85,0),MATCH($M$77,$A$78:$H$78,0))*고양시_Modal_split!G$3 * 0.01</f>
        <v>5.4424627957963642E-2</v>
      </c>
      <c r="R84" s="206">
        <f>INDEX($A$78:$H$85,MATCH($L84,$B$78:$B$85,0),MATCH($M$77,$A$78:$H$78,0))*고양시_Modal_split!H$3 * 0.01</f>
        <v>5.9157204302134393E-4</v>
      </c>
      <c r="S84" s="206">
        <f>INDEX($A$78:$H$85,MATCH($L84,$B$78:$B$85,0),MATCH($M$77,$A$78:$H$78,0))*고양시_Modal_split!I$3 * 0.01</f>
        <v>0.16445702795993358</v>
      </c>
      <c r="T84" s="206">
        <f>INDEX($A$78:$H$85,MATCH($L84,$B$78:$B$85,0),MATCH($M$77,$A$78:$H$78,0))*고양시_Modal_split!J$3 * 0.01</f>
        <v>1.8007452989569712</v>
      </c>
      <c r="U84" s="206">
        <f>INDEX($A$78:$H$85,MATCH($L84,$B$78:$B$85,0),MATCH($M$77,$A$78:$H$78,0))*고양시_Modal_split!K$3 * 0.01</f>
        <v>8.8735806453201591E-3</v>
      </c>
      <c r="V84" s="206">
        <f>INDEX($A$78:$H$85,MATCH($L84,$B$78:$B$85,0),MATCH($M$77,$A$78:$H$78,0))*고양시_Modal_split!L$3 * 0.01</f>
        <v>0.17865475699244587</v>
      </c>
      <c r="W84" s="206">
        <f>INDEX($A$78:$H$85,MATCH($L84,$B$78:$B$85,0),MATCH($M$77,$A$78:$H$78,0))*고양시_Modal_split!M$3 * 0.01</f>
        <v>1.3606156989490911E-2</v>
      </c>
      <c r="X84" s="206">
        <f>INDEX($A$78:$H$85,MATCH($L84,$B$78:$B$85,0),MATCH($M$77,$A$78:$H$78,0))*고양시_Modal_split!N$3 * 0.01</f>
        <v>5.9157204302134397E-3</v>
      </c>
      <c r="Y84" s="206">
        <f>INDEX($A$78:$H$85,MATCH($L84,$B$78:$B$85,0),MATCH($M$77,$A$78:$H$78,0))*고양시_Modal_split!O$3 * 0.01</f>
        <v>1.0648296774384192E-2</v>
      </c>
      <c r="Z84" s="209">
        <f>INDEX($A$78:$H$85,MATCH($L84,$B$78:$B$85,0),MATCH($M$77,$A$78:$H$78,0))*고양시_Modal_split!P$3 * 0.01</f>
        <v>5.9157204302134394</v>
      </c>
      <c r="AA84" s="207">
        <f>INDEX($A$78:$H$85,MATCH($L84,$B$78:$B$85,0),MATCH($AA$77,$A$78:$H$78,0))*고양시_Modal_split!C$3 * 0.01</f>
        <v>0.11987718120450813</v>
      </c>
      <c r="AB84" s="207">
        <f>INDEX($A$78:$H$85,MATCH($L84,$B$78:$B$85,0),MATCH($AA$77,$A$78:$H$78,0))*고양시_Modal_split!D$3 * 0.01</f>
        <v>20.135085114457208</v>
      </c>
      <c r="AC84" s="207">
        <f>INDEX($A$78:$H$85,MATCH($L84,$B$78:$B$85,0),MATCH($AA$77,$A$78:$H$78,0))*고양시_Modal_split!E$3 * 0.01</f>
        <v>2.4360755751916119</v>
      </c>
      <c r="AD84" s="207">
        <f>INDEX($A$78:$H$85,MATCH($L84,$B$78:$B$85,0),MATCH($AA$77,$A$78:$H$78,0))*고양시_Modal_split!F$3 * 0.01</f>
        <v>3.9259776844476417</v>
      </c>
      <c r="AE84" s="207">
        <f>INDEX($A$78:$H$85,MATCH($L84,$B$78:$B$85,0),MATCH($AA$77,$A$78:$H$78,0))*고양시_Modal_split!G$3 * 0.01</f>
        <v>0.39388216681481242</v>
      </c>
      <c r="AF84" s="207">
        <f>INDEX($A$78:$H$85,MATCH($L84,$B$78:$B$85,0),MATCH($AA$77,$A$78:$H$78,0))*고양시_Modal_split!H$3 * 0.01</f>
        <v>4.2813279001610053E-3</v>
      </c>
      <c r="AG84" s="207">
        <f>INDEX($A$78:$H$85,MATCH($L84,$B$78:$B$85,0),MATCH($AA$77,$A$78:$H$78,0))*고양시_Modal_split!I$3 * 0.01</f>
        <v>1.1902091562447594</v>
      </c>
      <c r="AH84" s="207">
        <f>INDEX($A$78:$H$85,MATCH($L84,$B$78:$B$85,0),MATCH($AA$77,$A$78:$H$78,0))*고양시_Modal_split!J$3 * 0.01</f>
        <v>13.032362128090099</v>
      </c>
      <c r="AI84" s="207">
        <f>INDEX($A$78:$H$85,MATCH($L84,$B$78:$B$85,0),MATCH($AA$77,$A$78:$H$78,0))*고양시_Modal_split!K$3 * 0.01</f>
        <v>6.4219918502415069E-2</v>
      </c>
      <c r="AJ84" s="207">
        <f>INDEX($A$78:$H$85,MATCH($L84,$B$78:$B$85,0),MATCH($AA$77,$A$78:$H$78,0))*고양시_Modal_split!L$3 * 0.01</f>
        <v>1.2929610258486235</v>
      </c>
      <c r="AK84" s="207">
        <f>INDEX($A$78:$H$85,MATCH($L84,$B$78:$B$85,0),MATCH($AA$77,$A$78:$H$78,0))*고양시_Modal_split!M$3 * 0.01</f>
        <v>9.8470541703703104E-2</v>
      </c>
      <c r="AL84" s="207">
        <f>INDEX($A$78:$H$85,MATCH($L84,$B$78:$B$85,0),MATCH($AA$77,$A$78:$H$78,0))*고양시_Modal_split!N$3 * 0.01</f>
        <v>4.2813279001610055E-2</v>
      </c>
      <c r="AM84" s="207">
        <f>INDEX($A$78:$H$85,MATCH($L84,$B$78:$B$85,0),MATCH($AA$77,$A$78:$H$78,0))*고양시_Modal_split!O$3 * 0.01</f>
        <v>7.7063902202898091E-2</v>
      </c>
      <c r="AN84" s="207">
        <f>INDEX($A$78:$H$85,MATCH($L84,$B$78:$B$85,0),MATCH($AA$77,$A$78:$H$78,0))*고양시_Modal_split!P$3 * 0.01</f>
        <v>42.813279001610049</v>
      </c>
      <c r="AO84" s="303">
        <f>INDEX($A$78:$H$85,MATCH($L41,$B$78:$B$85,0),MATCH($AO$77,$A$78:$H$78,0))*고양시_Modal_split!C$3 * 0.01</f>
        <v>6.8770571647622748E-3</v>
      </c>
      <c r="AP84" s="303">
        <f>INDEX($A$78:$H$85,MATCH($L41,$B$78:$B$85,0),MATCH($AO$77,$A$78:$H$78,0))*고양시_Modal_split!D$3 * 0.01</f>
        <v>1.1550999944956064</v>
      </c>
      <c r="AQ84" s="303">
        <f>INDEX($A$78:$H$85,MATCH($L41,$B$78:$B$85,0),MATCH($AO$77,$A$78:$H$78,0))*고양시_Modal_split!E$3 * 0.01</f>
        <v>0.13975162595534765</v>
      </c>
      <c r="AR84" s="303">
        <f>INDEX($A$78:$H$85,MATCH($L41,$B$78:$B$85,0),MATCH($AO$77,$A$78:$H$78,0))*고양시_Modal_split!F$3 * 0.01</f>
        <v>0.22522362214596453</v>
      </c>
      <c r="AS84" s="303">
        <f>INDEX($A$78:$H$85,MATCH($L41,$B$78:$B$85,0),MATCH($AO$77,$A$78:$H$78,0))*고양시_Modal_split!G$3 * 0.01</f>
        <v>2.2596044969933188E-2</v>
      </c>
      <c r="AT84" s="303">
        <f>INDEX($A$78:$H$85,MATCH($L41,$B$78:$B$85,0),MATCH($AO$77,$A$78:$H$78,0))*고양시_Modal_split!H$3 * 0.01</f>
        <v>2.4560918445579551E-4</v>
      </c>
      <c r="AU84" s="303">
        <f>INDEX($A$78:$H$85,MATCH($L41,$B$78:$B$85,0),MATCH($AO$77,$A$78:$H$78,0))*고양시_Modal_split!I$3 * 0.01</f>
        <v>6.8279353278711152E-2</v>
      </c>
      <c r="AV84" s="303">
        <f>INDEX($A$78:$H$85,MATCH($L41,$B$78:$B$85,0),MATCH($AO$77,$A$78:$H$78,0))*고양시_Modal_split!J$3 * 0.01</f>
        <v>0.74763435748344165</v>
      </c>
      <c r="AW84" s="303">
        <f>INDEX($A$78:$H$85,MATCH($L41,$B$78:$B$85,0),MATCH($AO$77,$A$78:$H$78,0))*고양시_Modal_split!K$3 * 0.01</f>
        <v>3.684137766836933E-3</v>
      </c>
      <c r="AX84" s="303">
        <f>INDEX($A$78:$H$85,MATCH($L41,$B$78:$B$85,0),MATCH($AO$77,$A$78:$H$78,0))*고양시_Modal_split!L$3 * 0.01</f>
        <v>7.4173973705650251E-2</v>
      </c>
      <c r="AY84" s="303">
        <f>INDEX($A$78:$H$85,MATCH($L41,$B$78:$B$85,0),MATCH($AO$77,$A$78:$H$78,0))*고양시_Modal_split!M$3 * 0.01</f>
        <v>5.6490112424832971E-3</v>
      </c>
      <c r="AZ84" s="303">
        <f>INDEX($A$78:$H$85,MATCH($L41,$B$78:$B$85,0),MATCH($AO$77,$A$78:$H$78,0))*고양시_Modal_split!N$3 * 0.01</f>
        <v>2.4560918445579553E-3</v>
      </c>
      <c r="BA84" s="207">
        <f>INDEX($A$78:$H$85,MATCH($L41,$B$78:$B$85,0),MATCH($AO$77,$A$78:$H$78,0))*고양시_Modal_split!O$3 * 0.01</f>
        <v>4.4209653202043194E-3</v>
      </c>
      <c r="BB84" s="207">
        <f>INDEX($A$78:$H$85,MATCH($L41,$B$78:$B$85,0),MATCH($AO$77,$A$78:$H$78,0))*고양시_Modal_split!P$3 * 0.01</f>
        <v>2.4560918445579554</v>
      </c>
      <c r="BC84" s="207">
        <f>INDEX($A$78:$H$85,MATCH($L84,$B$78:$B$85,0),MATCH($BC$77,$A$78:$H$78,0))*고양시_Modal_split!C$3 * 0.01</f>
        <v>1.0807318750281161E-5</v>
      </c>
      <c r="BD84" s="207">
        <f>INDEX($A$78:$H$85,MATCH($L84,$B$78:$B$85,0),MATCH($BC$77,$A$78:$H$78,0))*고양시_Modal_split!D$3 * 0.01</f>
        <v>1.8152435743775822E-3</v>
      </c>
      <c r="BE84" s="207">
        <f>INDEX($A$78:$H$85,MATCH($L84,$B$78:$B$85,0),MATCH($BC$77,$A$78:$H$78,0))*고양시_Modal_split!E$3 * 0.01</f>
        <v>2.196201560324993E-4</v>
      </c>
      <c r="BF84" s="207">
        <f>INDEX($A$78:$H$85,MATCH($L84,$B$78:$B$85,0),MATCH($BC$77,$A$78:$H$78,0))*고양시_Modal_split!F$3 * 0.01</f>
        <v>3.5393968907170801E-4</v>
      </c>
      <c r="BG84" s="207">
        <f>INDEX($A$78:$H$85,MATCH($L84,$B$78:$B$85,0),MATCH($BC$77,$A$78:$H$78,0))*고양시_Modal_split!G$3 * 0.01</f>
        <v>3.5509761608066674E-5</v>
      </c>
      <c r="BH84" s="207">
        <f>INDEX($A$78:$H$85,MATCH($L84,$B$78:$B$85,0),MATCH($BC$77,$A$78:$H$78,0))*고양시_Modal_split!H$3 * 0.01</f>
        <v>3.8597566965289864E-7</v>
      </c>
      <c r="BI84" s="207">
        <f>INDEX($A$78:$H$85,MATCH($L84,$B$78:$B$85,0),MATCH($BC$77,$A$78:$H$78,0))*고양시_Modal_split!I$3 * 0.01</f>
        <v>1.0730123616350582E-4</v>
      </c>
      <c r="BJ84" s="207">
        <f>INDEX($A$78:$H$85,MATCH($L84,$B$78:$B$85,0),MATCH($BC$77,$A$78:$H$78,0))*고양시_Modal_split!J$3 * 0.01</f>
        <v>1.1749099384234236E-3</v>
      </c>
      <c r="BK84" s="207">
        <f>INDEX($A$78:$H$85,MATCH($L84,$B$78:$B$85,0),MATCH($BC$77,$A$78:$H$78,0))*고양시_Modal_split!K$3 * 0.01</f>
        <v>5.7896350447934794E-6</v>
      </c>
      <c r="BL84" s="207">
        <f>INDEX($A$78:$H$85,MATCH($L84,$B$78:$B$85,0),MATCH($BC$77,$A$78:$H$78,0))*고양시_Modal_split!L$3 * 0.01</f>
        <v>1.1656465223517539E-4</v>
      </c>
      <c r="BM84" s="207">
        <f>INDEX($A$78:$H$85,MATCH($L84,$B$78:$B$85,0),MATCH($BC$77,$A$78:$H$78,0))*고양시_Modal_split!M$3 * 0.01</f>
        <v>8.8774404020166685E-6</v>
      </c>
      <c r="BN84" s="207">
        <f>INDEX($A$78:$H$85,MATCH($L84,$B$78:$B$85,0),MATCH($BC$77,$A$78:$H$78,0))*고양시_Modal_split!N$3 * 0.01</f>
        <v>3.8597566965289868E-6</v>
      </c>
      <c r="BO84" s="207">
        <f>INDEX($A$78:$H$85,MATCH($L84,$B$78:$B$85,0),MATCH($BC$77,$A$78:$H$78,0))*고양시_Modal_split!O$3 * 0.01</f>
        <v>6.9475620537521751E-6</v>
      </c>
      <c r="BP84" s="207">
        <f>INDEX($A$78:$H$85,MATCH($L84,$B$78:$B$85,0),MATCH($BC$77,$A$78:$H$78,0))*고양시_Modal_split!P$3 * 0.01</f>
        <v>3.8597566965289866E-3</v>
      </c>
      <c r="BQ84" s="207">
        <f>INDEX($A$78:$H$85,MATCH($L41,$B$78:$B$85,0),MATCH($BQ$77,$A$78:$H$78,0))*고양시_Modal_split!C$3 * 0.01</f>
        <v>4.0827648612173405E-5</v>
      </c>
      <c r="BR84" s="207">
        <f>INDEX($A$78:$H$85,MATCH($L41,$B$78:$B$85,0),MATCH($BQ$77,$A$78:$H$78,0))*고양시_Modal_split!D$3 * 0.01</f>
        <v>6.8575868365375551E-3</v>
      </c>
      <c r="BS84" s="207">
        <f>INDEX($A$78:$H$85,MATCH($L41,$B$78:$B$85,0),MATCH($BQ$77,$A$78:$H$78,0))*고양시_Modal_split!E$3 * 0.01</f>
        <v>8.2967614501166674E-4</v>
      </c>
      <c r="BT84" s="207">
        <f>INDEX($A$78:$H$85,MATCH($L41,$B$78:$B$85,0),MATCH($BQ$77,$A$78:$H$78,0))*고양시_Modal_split!F$3 * 0.01</f>
        <v>1.3371054920486793E-3</v>
      </c>
      <c r="BU84" s="207">
        <f>INDEX($A$78:$H$85,MATCH($L41,$B$78:$B$85,0),MATCH($BQ$77,$A$78:$H$78,0))*고양시_Modal_split!G$3 * 0.01</f>
        <v>1.3414798829714119E-4</v>
      </c>
      <c r="BV84" s="207">
        <f>INDEX($A$78:$H$85,MATCH($L41,$B$78:$B$85,0),MATCH($BQ$77,$A$78:$H$78,0))*고양시_Modal_split!H$3 * 0.01</f>
        <v>1.4581303075776218E-6</v>
      </c>
      <c r="BW84" s="207">
        <f>INDEX($A$78:$H$85,MATCH($L41,$B$78:$B$85,0),MATCH($BQ$77,$A$78:$H$78,0))*고양시_Modal_split!I$3 * 0.01</f>
        <v>4.0536022550657881E-4</v>
      </c>
      <c r="BX84" s="207">
        <f>INDEX($A$78:$H$85,MATCH($L41,$B$78:$B$85,0),MATCH($BQ$77,$A$78:$H$78,0))*고양시_Modal_split!J$3 * 0.01</f>
        <v>4.4385486562662805E-3</v>
      </c>
      <c r="BY84" s="207">
        <f>INDEX($A$78:$H$85,MATCH($L41,$B$78:$B$85,0),MATCH($BQ$77,$A$78:$H$78,0))*고양시_Modal_split!K$3 * 0.01</f>
        <v>2.1871954613664322E-5</v>
      </c>
      <c r="BZ84" s="207">
        <f>INDEX($A$78:$H$85,MATCH($L41,$B$78:$B$85,0),MATCH($BQ$77,$A$78:$H$78,0))*고양시_Modal_split!L$3 * 0.01</f>
        <v>4.403553528884418E-4</v>
      </c>
      <c r="CA84" s="207">
        <f>INDEX($A$78:$H$85,MATCH($L41,$B$78:$B$85,0),MATCH($BQ$77,$A$78:$H$78,0))*고양시_Modal_split!M$3 * 0.01</f>
        <v>3.3536997074285297E-5</v>
      </c>
      <c r="CB84" s="207">
        <f>INDEX($A$78:$H$85,MATCH($L41,$B$78:$B$85,0),MATCH($BQ$77,$A$78:$H$78,0))*고양시_Modal_split!N$3 * 0.01</f>
        <v>1.4581303075776218E-5</v>
      </c>
      <c r="CC84" s="207">
        <f>INDEX($A$78:$H$85,MATCH($L41,$B$78:$B$85,0),MATCH($BQ$77,$A$78:$H$78,0))*고양시_Modal_split!O$3 * 0.01</f>
        <v>2.624634553639719E-5</v>
      </c>
      <c r="CD84" s="207">
        <f>INDEX($A$78:$H$85,MATCH($L41,$B$78:$B$85,0),MATCH($BQ$77,$A$78:$H$78,0))*고양시_Modal_split!P$3 * 0.01</f>
        <v>1.4581303075776217E-2</v>
      </c>
      <c r="CE84" s="304">
        <f t="shared" si="21"/>
        <v>0.1433698905412305</v>
      </c>
      <c r="CF84" s="304">
        <f t="shared" si="17"/>
        <v>24.081021257693113</v>
      </c>
      <c r="CG84" s="304">
        <f t="shared" si="17"/>
        <v>2.9134809899271481</v>
      </c>
      <c r="CH84" s="304">
        <f t="shared" si="17"/>
        <v>4.6953639152252995</v>
      </c>
      <c r="CI84" s="304">
        <f t="shared" si="17"/>
        <v>0.47107249749261443</v>
      </c>
      <c r="CJ84" s="304">
        <f t="shared" si="17"/>
        <v>5.1203532336153747E-3</v>
      </c>
      <c r="CK84" s="304">
        <f t="shared" si="17"/>
        <v>1.4234581989450741</v>
      </c>
      <c r="CL84" s="304">
        <f t="shared" si="17"/>
        <v>15.586355243125203</v>
      </c>
      <c r="CM84" s="304">
        <f t="shared" si="17"/>
        <v>7.680529850423061E-2</v>
      </c>
      <c r="CN84" s="304">
        <f t="shared" si="17"/>
        <v>1.5463466765518432</v>
      </c>
      <c r="CO84" s="304">
        <f t="shared" si="17"/>
        <v>0.11776812437315361</v>
      </c>
      <c r="CP84" s="304">
        <f t="shared" si="17"/>
        <v>5.1203532336153754E-2</v>
      </c>
      <c r="CQ84" s="304">
        <f t="shared" si="17"/>
        <v>9.2166358205076765E-2</v>
      </c>
      <c r="CR84" s="304">
        <f t="shared" si="17"/>
        <v>51.203532336153749</v>
      </c>
      <c r="CS84" s="305">
        <f t="shared" si="22"/>
        <v>0</v>
      </c>
      <c r="CV84" s="267"/>
      <c r="CW84" s="267" t="s">
        <v>720</v>
      </c>
      <c r="CX84" s="267">
        <f>INDEX($M$77:$Z$85,MATCH($CW84,$L$77:$L$85,0),MATCH(CX$78,$M$78:$Z$78,0))/INDEX(고양시_재차인원!$D$4:$H$35,MATCH("고양시",고양시_재차인원!$B$4:$B$35,0),MATCH($CX$77,고양시_재차인원!$D$4:$H$4,0))</f>
        <v>2.4840743913655183</v>
      </c>
      <c r="CY84" s="267">
        <f>INDEX($M$77:$Z$85,MATCH($CW84,$L$77:$L$85,0),MATCH(CY$78,$M$78:$Z$78,0))/INDEX(고양시_재차인원!$K$4:$O$20,MATCH("경기도",고양시_재차인원!$K$4:$K$20,0),MATCH(CY$78,고양시_재차인원!$K$4:$O$4,0))</f>
        <v>2.0547830601644459E-5</v>
      </c>
      <c r="CZ84" s="267">
        <f>INDEX($M$77:$Z$85,MATCH($CW84,$L$77:$L$85,0),MATCH(CZ$78,$M$78:$Z$78,0))/INDEX(고양시_재차인원!$K$4:$O$20,MATCH("경기도",고양시_재차인원!$K$4:$K$20,0),MATCH(CZ$78,고양시_재차인원!$K$4:$O$4,0))</f>
        <v>5.7122969072571587E-3</v>
      </c>
      <c r="DA84" s="267">
        <f>INDEX($M$77:$Z$85,MATCH($CW84,$L$77:$L$85,0),MATCH(DA$78,$M$78:$Z$78,0))/INDEX(고양시_재차인원!$D$4:$H$35,MATCH("고양시",고양시_재차인원!$B$4:$B$35,0),MATCH($CX$77,고양시_재차인원!$D$4:$H$4,0))</f>
        <v>0.15951317588611238</v>
      </c>
      <c r="DB84" s="267">
        <f>INDEX($AA$77:$AN$85,MATCH($CW84,$L$77:$L$85,0),MATCH(DB$78,$AA$78:$AN$78,0))/INDEX(고양시_재차인원!$D$4:$H$35,MATCH("고양시",고양시_재차인원!$B$4:$B$35,0),MATCH($DB$77,고양시_재차인원!$D$4:$H$4,0))</f>
        <v>14.280202208834901</v>
      </c>
      <c r="DC84" s="267">
        <f>INDEX($AA$77:$AN$85,MATCH($CW84,$L$77:$L$85,0),MATCH(DC$78,$AA$78:$AN$78,0))/INDEX(고양시_재차인원!$K$4:$O$20,MATCH("경기도",고양시_재차인원!$K$4:$K$20,0),MATCH(DC$78,고양시_재차인원!$K$4:$O$4,0))</f>
        <v>1.4870885377426209E-4</v>
      </c>
      <c r="DD84" s="267">
        <f>INDEX($AA$77:$AN$85,MATCH($CW84,$L$77:$L$85,0),MATCH(DD$78,$AA$78:$AN$78,0))/INDEX(고양시_재차인원!$K$4:$O$20,MATCH("경기도",고양시_재차인원!$K$4:$K$20,0),MATCH(DD$78,고양시_재차인원!$K$4:$O$4,0))</f>
        <v>4.1341061349244861E-2</v>
      </c>
      <c r="DE84" s="267">
        <f>INDEX($AA$77:$AN$85,MATCH($CW84,$L$77:$L$85,0),MATCH(DE$78,$AA$78:$AN$78,0))/INDEX(고양시_재차인원!$D$4:$H$35,MATCH("고양시",고양시_재차인원!$B$4:$B$35,0),MATCH($DB$77,고양시_재차인원!$D$4:$H$4,0))</f>
        <v>0.91699363535363376</v>
      </c>
      <c r="DF84" s="267">
        <f>INDEX($AO$77:$BB$85,MATCH($CW84,$L$77:$L$85,0),MATCH(DF$78,$AO$78:$BB$78,0))/INDEX(고양시_재차인원!$D$4:$H$35,MATCH("고양시",고양시_재차인원!$B$4:$B$35,0),MATCH($DF$77,고양시_재차인원!$D$4:$H$4,0))</f>
        <v>0.88853845730431258</v>
      </c>
      <c r="DG84" s="267">
        <f>INDEX($AO$77:$BB$85,MATCH($CW84,$L$77:$L$85,0),MATCH(DG$78,$AO$78:$BB$78,0))/INDEX(고양시_재차인원!$K$4:$O$20,MATCH("경기도",고양시_재차인원!$K$4:$K$20,0),MATCH(DG$78,고양시_재차인원!$K$4:$O$4,0))</f>
        <v>8.5310588557066871E-6</v>
      </c>
      <c r="DH84" s="267">
        <f>INDEX($AO$77:$BB$85,MATCH($CW84,$L$77:$L$85,0),MATCH(DH$78,$AO$78:$BB$78,0))/INDEX(고양시_재차인원!$K$4:$O$20,MATCH("경기도",고양시_재차인원!$K$4:$K$20,0),MATCH(DH$78,고양시_재차인원!$K$4:$O$4,0))</f>
        <v>2.3716343618864588E-3</v>
      </c>
      <c r="DI84" s="267">
        <f>INDEX($AO$77:$BB$85,MATCH($CW84,$L$77:$L$85,0),MATCH(DI$78,$AO$78:$BB$78,0))/INDEX(고양시_재차인원!$D$4:$H$35,MATCH("고양시",고양시_재차인원!$B$4:$B$35,0),MATCH($DF$77,고양시_재차인원!$D$4:$H$4,0))</f>
        <v>5.7056902850500191E-2</v>
      </c>
      <c r="DJ84" s="267">
        <f>INDEX($BC$77:$BP$85,MATCH($CW84,$L$77:$L$85,0),MATCH(DJ$78,$BC$78:$BP$78,0))/INDEX(고양시_재차인원!$D$4:$H$35,MATCH("고양시",고양시_재차인원!$B$4:$B$35,0),MATCH($DJ$77,고양시_재차인원!$D$4:$H$4,0))</f>
        <v>1.3347379223364573E-3</v>
      </c>
      <c r="DK84" s="267">
        <f>INDEX($BC$77:$BP$85,MATCH($CW84,$L$77:$L$85,0),MATCH(DK$78,$BC$78:$BP$78,0))/INDEX(고양시_재차인원!$K$4:$O$20,MATCH("경기도",고양시_재차인원!$K$4:$K$20,0),MATCH(DK$78,고양시_재차인원!$K$4:$O$4,0))</f>
        <v>1.3406588039350423E-8</v>
      </c>
      <c r="DL84" s="267">
        <f>INDEX($BC$77:$BP$85,MATCH($CW84,$L$77:$L$85,0),MATCH(DL$78,$BC$78:$BP$78,0))/INDEX(고양시_재차인원!$K$4:$O$20,MATCH("경기도",고양시_재차인원!$K$4:$K$20,0),MATCH(DL$78,고양시_재차인원!$K$4:$O$4,0))</f>
        <v>3.7270314749394172E-6</v>
      </c>
      <c r="DM84" s="267">
        <f>INDEX($BC$77:$BP$85,MATCH($CW84,$L$77:$L$85,0),MATCH(DM$78,$BC$78:$BP$78,0))/INDEX(고양시_재차인원!$D$4:$H$35,MATCH("고양시",고양시_재차인원!$B$4:$B$35,0),MATCH($DJ$77,고양시_재차인원!$D$4:$H$4,0))</f>
        <v>8.570930311409955E-5</v>
      </c>
      <c r="DN84" s="267">
        <f>INDEX($BQ$77:$CD$85,MATCH($CW84,$L$77:$L$85,0),MATCH(DN$78,$BQ$78:$CD$78,0))/INDEX(고양시_재차인원!$D$4:$H$35,MATCH("고양시",고양시_재차인원!$B$4:$B$35,0),MATCH($DN$77,고양시_재차인원!$D$4:$H$4,0))</f>
        <v>5.4425292353472658E-3</v>
      </c>
      <c r="DO84" s="267">
        <f>INDEX($BQ$77:$CD$85,MATCH($CW84,$L$77:$L$85,0),MATCH(DO$78,$BQ$78:$CD$78,0))/INDEX(고양시_재차인원!$K$4:$O$20,MATCH("경기도",고양시_재차인원!$K$4:$K$20,0),MATCH(DO$78,고양시_재차인원!$K$4:$O$4,0))</f>
        <v>5.0647110370879536E-8</v>
      </c>
      <c r="DP84" s="267">
        <f>INDEX($BQ$77:$CD$85,MATCH($CW84,$L$77:$L$85,0),MATCH(DP$78,$BQ$78:$CD$78,0))/INDEX(고양시_재차인원!$K$4:$O$20,MATCH("경기도",고양시_재차인원!$K$4:$K$20,0),MATCH(DP$78,고양시_재차인원!$K$4:$O$4,0))</f>
        <v>1.4079896683104509E-5</v>
      </c>
      <c r="DQ84" s="267">
        <f>INDEX($BQ$77:$CD$85,MATCH($CW84,$L$77:$L$85,0),MATCH(DQ$78,$BQ$78:$CD$78,0))/INDEX(고양시_재차인원!$D$4:$H$35,MATCH("고양시",고양시_재차인원!$B$4:$B$35,0),MATCH($DN$77,고양시_재차인원!$D$4:$H$4,0))</f>
        <v>3.4948837530828712E-4</v>
      </c>
      <c r="DR84" s="270">
        <f t="shared" si="23"/>
        <v>17.659592324662412</v>
      </c>
      <c r="DS84" s="270">
        <f t="shared" si="18"/>
        <v>1.7785179693002344E-4</v>
      </c>
      <c r="DT84" s="270">
        <f t="shared" si="18"/>
        <v>4.9442799546546519E-2</v>
      </c>
      <c r="DU84" s="270">
        <f t="shared" si="18"/>
        <v>1.1339989117686688</v>
      </c>
      <c r="DW84" s="278"/>
      <c r="DX84" s="278" t="s">
        <v>720</v>
      </c>
      <c r="DY84" s="281">
        <f t="shared" si="24"/>
        <v>18.79359123643108</v>
      </c>
      <c r="DZ84" s="281">
        <f t="shared" si="25"/>
        <v>4.9620651343476541E-2</v>
      </c>
      <c r="EB84" s="278"/>
      <c r="EC84" s="278" t="s">
        <v>13</v>
      </c>
      <c r="ED84" s="281">
        <f t="shared" si="26"/>
        <v>18.79359123643108</v>
      </c>
      <c r="EE84" s="281">
        <f t="shared" si="19"/>
        <v>4.9620651343476541E-2</v>
      </c>
      <c r="FE84" t="s">
        <v>12</v>
      </c>
      <c r="FF84" t="s">
        <v>361</v>
      </c>
      <c r="FG84">
        <v>8261.5616000000009</v>
      </c>
      <c r="FH84" s="277" t="e">
        <f t="shared" si="27"/>
        <v>#DIV/0!</v>
      </c>
    </row>
    <row r="85" spans="1:164" ht="37.5">
      <c r="A85" s="205"/>
      <c r="B85" s="205" t="s">
        <v>722</v>
      </c>
      <c r="C85" s="400">
        <f>$D14*KTDB_TripDistribution_2035!T$12 * (1+KTDB_발생량도착량_증가율!$C$7) * (1+KTDB_발생량도착량_증가율!$D$8*5) * (1+KTDB_발생량도착량_증가율!$E$8*5)</f>
        <v>35.494322581280642</v>
      </c>
      <c r="D85" s="400">
        <f>$D14*KTDB_TripDistribution_2035!U$12 * (1+KTDB_발생량도착량_증가율!$C$7) * (1+KTDB_발생량도착량_증가율!$D$8*5) * (1+KTDB_발생량도착량_증가율!$E$8*5)</f>
        <v>256.87967400966022</v>
      </c>
      <c r="E85" s="400">
        <f>$D14*KTDB_TripDistribution_2035!V$12 * (1+KTDB_발생량도착량_증가율!$C$7) * (1+KTDB_발생량도착량_증가율!$D$8*5) * (1+KTDB_발생량도착량_증가율!$E$8*5)</f>
        <v>14.736551067347731</v>
      </c>
      <c r="F85" s="400">
        <f>$D14*KTDB_TripDistribution_2035!W$12 * (1+KTDB_발생량도착량_증가율!$C$7) * (1+KTDB_발생량도착량_증가율!$D$8*5) * (1+KTDB_발생량도착량_증가율!$E$8*5)</f>
        <v>2.3158540179173921E-2</v>
      </c>
      <c r="G85" s="400">
        <f>$D14*KTDB_TripDistribution_2035!X$12 * (1+KTDB_발생량도착량_증가율!$C$7) * (1+KTDB_발생량도착량_증가율!$D$8*5) * (1+KTDB_발생량도착량_증가율!$E$8*5)</f>
        <v>8.7487818454657293E-2</v>
      </c>
      <c r="H85" s="400">
        <f>$D14*KTDB_TripDistribution_2035!Y$12 * (1+KTDB_발생량도착량_증가율!$C$7) * (1+KTDB_발생량도착량_증가율!$D$8*5) * (1+KTDB_발생량도착량_증가율!$E$8*5)</f>
        <v>307.22119401692242</v>
      </c>
      <c r="I85" s="56"/>
      <c r="J85" s="56"/>
      <c r="K85" s="206"/>
      <c r="L85" s="206" t="s">
        <v>722</v>
      </c>
      <c r="M85" s="206">
        <f>INDEX($A$78:$H$85,MATCH($L85,$B$78:$B$85,0),MATCH($M$77,$A$78:$H$78,0))*고양시_Modal_split!C$3 * 0.01</f>
        <v>9.9384103227585785E-2</v>
      </c>
      <c r="N85" s="206">
        <f>INDEX($A$78:$H$85,MATCH($L85,$B$78:$B$85,0),MATCH($M$77,$A$78:$H$78,0))*고양시_Modal_split!D$3 * 0.01</f>
        <v>16.692979909976287</v>
      </c>
      <c r="O85" s="206">
        <f>INDEX($A$78:$H$85,MATCH($L85,$B$78:$B$85,0),MATCH($M$77,$A$78:$H$78,0))*고양시_Modal_split!E$3 * 0.01</f>
        <v>2.0196269548748682</v>
      </c>
      <c r="P85" s="206">
        <f>INDEX($A$78:$H$85,MATCH($L85,$B$78:$B$85,0),MATCH($M$77,$A$78:$H$78,0))*고양시_Modal_split!F$3 * 0.01</f>
        <v>3.254829380703435</v>
      </c>
      <c r="Q85" s="206">
        <f>INDEX($A$78:$H$85,MATCH($L85,$B$78:$B$85,0),MATCH($M$77,$A$78:$H$78,0))*고양시_Modal_split!G$3 * 0.01</f>
        <v>0.32654776774778188</v>
      </c>
      <c r="R85" s="206">
        <f>INDEX($A$78:$H$85,MATCH($L85,$B$78:$B$85,0),MATCH($M$77,$A$78:$H$78,0))*고양시_Modal_split!H$3 * 0.01</f>
        <v>3.549432258128064E-3</v>
      </c>
      <c r="S85" s="206">
        <f>INDEX($A$78:$H$85,MATCH($L85,$B$78:$B$85,0),MATCH($M$77,$A$78:$H$78,0))*고양시_Modal_split!I$3 * 0.01</f>
        <v>0.98674216775960177</v>
      </c>
      <c r="T85" s="206">
        <f>INDEX($A$78:$H$85,MATCH($L85,$B$78:$B$85,0),MATCH($M$77,$A$78:$H$78,0))*고양시_Modal_split!J$3 * 0.01</f>
        <v>10.804471793741827</v>
      </c>
      <c r="U85" s="206">
        <f>INDEX($A$78:$H$85,MATCH($L85,$B$78:$B$85,0),MATCH($M$77,$A$78:$H$78,0))*고양시_Modal_split!K$3 * 0.01</f>
        <v>5.3241483871920965E-2</v>
      </c>
      <c r="V85" s="206">
        <f>INDEX($A$78:$H$85,MATCH($L85,$B$78:$B$85,0),MATCH($M$77,$A$78:$H$78,0))*고양시_Modal_split!L$3 * 0.01</f>
        <v>1.0719285419546754</v>
      </c>
      <c r="W85" s="206">
        <f>INDEX($A$78:$H$85,MATCH($L85,$B$78:$B$85,0),MATCH($M$77,$A$78:$H$78,0))*고양시_Modal_split!M$3 * 0.01</f>
        <v>8.163694193694547E-2</v>
      </c>
      <c r="X85" s="206">
        <f>INDEX($A$78:$H$85,MATCH($L85,$B$78:$B$85,0),MATCH($M$77,$A$78:$H$78,0))*고양시_Modal_split!N$3 * 0.01</f>
        <v>3.5494322581280643E-2</v>
      </c>
      <c r="Y85" s="206">
        <f>INDEX($A$78:$H$85,MATCH($L85,$B$78:$B$85,0),MATCH($M$77,$A$78:$H$78,0))*고양시_Modal_split!O$3 * 0.01</f>
        <v>6.3889780646305155E-2</v>
      </c>
      <c r="Z85" s="209">
        <f>INDEX($A$78:$H$85,MATCH($L85,$B$78:$B$85,0),MATCH($M$77,$A$78:$H$78,0))*고양시_Modal_split!P$3 * 0.01</f>
        <v>35.494322581280642</v>
      </c>
      <c r="AA85" s="207">
        <f>INDEX($A$78:$H$85,MATCH($L85,$B$78:$B$85,0),MATCH($AA$77,$A$78:$H$78,0))*고양시_Modal_split!C$3 * 0.01</f>
        <v>0.71926308722704857</v>
      </c>
      <c r="AB85" s="207">
        <f>INDEX($A$78:$H$85,MATCH($L85,$B$78:$B$85,0),MATCH($AA$77,$A$78:$H$78,0))*고양시_Modal_split!D$3 * 0.01</f>
        <v>120.8105106867432</v>
      </c>
      <c r="AC85" s="207">
        <f>INDEX($A$78:$H$85,MATCH($L85,$B$78:$B$85,0),MATCH($AA$77,$A$78:$H$78,0))*고양시_Modal_split!E$3 * 0.01</f>
        <v>14.616453451149667</v>
      </c>
      <c r="AD85" s="207">
        <f>INDEX($A$78:$H$85,MATCH($L85,$B$78:$B$85,0),MATCH($AA$77,$A$78:$H$78,0))*고양시_Modal_split!F$3 * 0.01</f>
        <v>23.555866106685844</v>
      </c>
      <c r="AE85" s="207">
        <f>INDEX($A$78:$H$85,MATCH($L85,$B$78:$B$85,0),MATCH($AA$77,$A$78:$H$78,0))*고양시_Modal_split!G$3 * 0.01</f>
        <v>2.363293000888874</v>
      </c>
      <c r="AF85" s="207">
        <f>INDEX($A$78:$H$85,MATCH($L85,$B$78:$B$85,0),MATCH($AA$77,$A$78:$H$78,0))*고양시_Modal_split!H$3 * 0.01</f>
        <v>2.568796740096602E-2</v>
      </c>
      <c r="AG85" s="207">
        <f>INDEX($A$78:$H$85,MATCH($L85,$B$78:$B$85,0),MATCH($AA$77,$A$78:$H$78,0))*고양시_Modal_split!I$3 * 0.01</f>
        <v>7.1412549374685534</v>
      </c>
      <c r="AH85" s="207">
        <f>INDEX($A$78:$H$85,MATCH($L85,$B$78:$B$85,0),MATCH($AA$77,$A$78:$H$78,0))*고양시_Modal_split!J$3 * 0.01</f>
        <v>78.194172768540582</v>
      </c>
      <c r="AI85" s="207">
        <f>INDEX($A$78:$H$85,MATCH($L85,$B$78:$B$85,0),MATCH($AA$77,$A$78:$H$78,0))*고양시_Modal_split!K$3 * 0.01</f>
        <v>0.3853195110144903</v>
      </c>
      <c r="AJ85" s="207">
        <f>INDEX($A$78:$H$85,MATCH($L85,$B$78:$B$85,0),MATCH($AA$77,$A$78:$H$78,0))*고양시_Modal_split!L$3 * 0.01</f>
        <v>7.7577661550917387</v>
      </c>
      <c r="AK85" s="207">
        <f>INDEX($A$78:$H$85,MATCH($L85,$B$78:$B$85,0),MATCH($AA$77,$A$78:$H$78,0))*고양시_Modal_split!M$3 * 0.01</f>
        <v>0.59082325022221849</v>
      </c>
      <c r="AL85" s="207">
        <f>INDEX($A$78:$H$85,MATCH($L85,$B$78:$B$85,0),MATCH($AA$77,$A$78:$H$78,0))*고양시_Modal_split!N$3 * 0.01</f>
        <v>0.25687967400966022</v>
      </c>
      <c r="AM85" s="207">
        <f>INDEX($A$78:$H$85,MATCH($L85,$B$78:$B$85,0),MATCH($AA$77,$A$78:$H$78,0))*고양시_Modal_split!O$3 * 0.01</f>
        <v>0.46238341321738835</v>
      </c>
      <c r="AN85" s="207">
        <f>INDEX($A$78:$H$85,MATCH($L85,$B$78:$B$85,0),MATCH($AA$77,$A$78:$H$78,0))*고양시_Modal_split!P$3 * 0.01</f>
        <v>256.87967400966022</v>
      </c>
      <c r="AO85" s="303">
        <f>INDEX($A$78:$H$85,MATCH($L42,$B$78:$B$85,0),MATCH($AO$77,$A$78:$H$78,0))*고양시_Modal_split!C$3 * 0.01</f>
        <v>4.126234298857364E-2</v>
      </c>
      <c r="AP85" s="303">
        <f>INDEX($A$78:$H$85,MATCH($L42,$B$78:$B$85,0),MATCH($AO$77,$A$78:$H$78,0))*고양시_Modal_split!D$3 * 0.01</f>
        <v>6.930599966973638</v>
      </c>
      <c r="AQ85" s="303">
        <f>INDEX($A$78:$H$85,MATCH($L42,$B$78:$B$85,0),MATCH($AO$77,$A$78:$H$78,0))*고양시_Modal_split!E$3 * 0.01</f>
        <v>0.83850975573208586</v>
      </c>
      <c r="AR85" s="303">
        <f>INDEX($A$78:$H$85,MATCH($L42,$B$78:$B$85,0),MATCH($AO$77,$A$78:$H$78,0))*고양시_Modal_split!F$3 * 0.01</f>
        <v>1.3513417328757871</v>
      </c>
      <c r="AS85" s="303">
        <f>INDEX($A$78:$H$85,MATCH($L42,$B$78:$B$85,0),MATCH($AO$77,$A$78:$H$78,0))*고양시_Modal_split!G$3 * 0.01</f>
        <v>0.13557626981959911</v>
      </c>
      <c r="AT85" s="303">
        <f>INDEX($A$78:$H$85,MATCH($L42,$B$78:$B$85,0),MATCH($AO$77,$A$78:$H$78,0))*고양시_Modal_split!H$3 * 0.01</f>
        <v>1.4736551067347731E-3</v>
      </c>
      <c r="AU85" s="303">
        <f>INDEX($A$78:$H$85,MATCH($L42,$B$78:$B$85,0),MATCH($AO$77,$A$78:$H$78,0))*고양시_Modal_split!I$3 * 0.01</f>
        <v>0.40967611967226691</v>
      </c>
      <c r="AV85" s="303">
        <f>INDEX($A$78:$H$85,MATCH($L42,$B$78:$B$85,0),MATCH($AO$77,$A$78:$H$78,0))*고양시_Modal_split!J$3 * 0.01</f>
        <v>4.4858061449006499</v>
      </c>
      <c r="AW85" s="303">
        <f>INDEX($A$78:$H$85,MATCH($L42,$B$78:$B$85,0),MATCH($AO$77,$A$78:$H$78,0))*고양시_Modal_split!K$3 * 0.01</f>
        <v>2.2104826601021595E-2</v>
      </c>
      <c r="AX85" s="303">
        <f>INDEX($A$78:$H$85,MATCH($L42,$B$78:$B$85,0),MATCH($AO$77,$A$78:$H$78,0))*고양시_Modal_split!L$3 * 0.01</f>
        <v>0.44504384223390148</v>
      </c>
      <c r="AY85" s="303">
        <f>INDEX($A$78:$H$85,MATCH($L42,$B$78:$B$85,0),MATCH($AO$77,$A$78:$H$78,0))*고양시_Modal_split!M$3 * 0.01</f>
        <v>3.3894067454899778E-2</v>
      </c>
      <c r="AZ85" s="303">
        <f>INDEX($A$78:$H$85,MATCH($L42,$B$78:$B$85,0),MATCH($AO$77,$A$78:$H$78,0))*고양시_Modal_split!N$3 * 0.01</f>
        <v>1.4736551067347732E-2</v>
      </c>
      <c r="BA85" s="207">
        <f>INDEX($A$78:$H$85,MATCH($L42,$B$78:$B$85,0),MATCH($AO$77,$A$78:$H$78,0))*고양시_Modal_split!O$3 * 0.01</f>
        <v>2.6525791921225915E-2</v>
      </c>
      <c r="BB85" s="207">
        <f>INDEX($A$78:$H$85,MATCH($L42,$B$78:$B$85,0),MATCH($AO$77,$A$78:$H$78,0))*고양시_Modal_split!P$3 * 0.01</f>
        <v>14.736551067347733</v>
      </c>
      <c r="BC85" s="207">
        <f>INDEX($A$78:$H$85,MATCH($L85,$B$78:$B$85,0),MATCH($BC$77,$A$78:$H$78,0))*고양시_Modal_split!C$3 * 0.01</f>
        <v>6.484391250168698E-5</v>
      </c>
      <c r="BD85" s="207">
        <f>INDEX($A$78:$H$85,MATCH($L85,$B$78:$B$85,0),MATCH($BC$77,$A$78:$H$78,0))*고양시_Modal_split!D$3 * 0.01</f>
        <v>1.0891461446265497E-2</v>
      </c>
      <c r="BE85" s="207">
        <f>INDEX($A$78:$H$85,MATCH($L85,$B$78:$B$85,0),MATCH($BC$77,$A$78:$H$78,0))*고양시_Modal_split!E$3 * 0.01</f>
        <v>1.317720936194996E-3</v>
      </c>
      <c r="BF85" s="207">
        <f>INDEX($A$78:$H$85,MATCH($L85,$B$78:$B$85,0),MATCH($BC$77,$A$78:$H$78,0))*고양시_Modal_split!F$3 * 0.01</f>
        <v>2.1236381344302484E-3</v>
      </c>
      <c r="BG85" s="207">
        <f>INDEX($A$78:$H$85,MATCH($L85,$B$78:$B$85,0),MATCH($BC$77,$A$78:$H$78,0))*고양시_Modal_split!G$3 * 0.01</f>
        <v>2.1305856964840006E-4</v>
      </c>
      <c r="BH85" s="207">
        <f>INDEX($A$78:$H$85,MATCH($L85,$B$78:$B$85,0),MATCH($BC$77,$A$78:$H$78,0))*고양시_Modal_split!H$3 * 0.01</f>
        <v>2.3158540179173923E-6</v>
      </c>
      <c r="BI85" s="207">
        <f>INDEX($A$78:$H$85,MATCH($L85,$B$78:$B$85,0),MATCH($BC$77,$A$78:$H$78,0))*고양시_Modal_split!I$3 * 0.01</f>
        <v>6.4380741698103503E-4</v>
      </c>
      <c r="BJ85" s="207">
        <f>INDEX($A$78:$H$85,MATCH($L85,$B$78:$B$85,0),MATCH($BC$77,$A$78:$H$78,0))*고양시_Modal_split!J$3 * 0.01</f>
        <v>7.0494596305405426E-3</v>
      </c>
      <c r="BK85" s="207">
        <f>INDEX($A$78:$H$85,MATCH($L85,$B$78:$B$85,0),MATCH($BC$77,$A$78:$H$78,0))*고양시_Modal_split!K$3 * 0.01</f>
        <v>3.4737810268760883E-5</v>
      </c>
      <c r="BL85" s="207">
        <f>INDEX($A$78:$H$85,MATCH($L85,$B$78:$B$85,0),MATCH($BC$77,$A$78:$H$78,0))*고양시_Modal_split!L$3 * 0.01</f>
        <v>6.9938791341105241E-4</v>
      </c>
      <c r="BM85" s="207">
        <f>INDEX($A$78:$H$85,MATCH($L85,$B$78:$B$85,0),MATCH($BC$77,$A$78:$H$78,0))*고양시_Modal_split!M$3 * 0.01</f>
        <v>5.3264642412100014E-5</v>
      </c>
      <c r="BN85" s="207">
        <f>INDEX($A$78:$H$85,MATCH($L85,$B$78:$B$85,0),MATCH($BC$77,$A$78:$H$78,0))*고양시_Modal_split!N$3 * 0.01</f>
        <v>2.3158540179173921E-5</v>
      </c>
      <c r="BO85" s="207">
        <f>INDEX($A$78:$H$85,MATCH($L85,$B$78:$B$85,0),MATCH($BC$77,$A$78:$H$78,0))*고양시_Modal_split!O$3 * 0.01</f>
        <v>4.1685372322513056E-5</v>
      </c>
      <c r="BP85" s="207">
        <f>INDEX($A$78:$H$85,MATCH($L85,$B$78:$B$85,0),MATCH($BC$77,$A$78:$H$78,0))*고양시_Modal_split!P$3 * 0.01</f>
        <v>2.3158540179173921E-2</v>
      </c>
      <c r="BQ85" s="207">
        <f>INDEX($A$78:$H$85,MATCH($L42,$B$78:$B$85,0),MATCH($BQ$77,$A$78:$H$78,0))*고양시_Modal_split!C$3 * 0.01</f>
        <v>2.449658916730404E-4</v>
      </c>
      <c r="BR85" s="207">
        <f>INDEX($A$78:$H$85,MATCH($L42,$B$78:$B$85,0),MATCH($BQ$77,$A$78:$H$78,0))*고양시_Modal_split!D$3 * 0.01</f>
        <v>4.1145521019225327E-2</v>
      </c>
      <c r="BS85" s="207">
        <f>INDEX($A$78:$H$85,MATCH($L42,$B$78:$B$85,0),MATCH($BQ$77,$A$78:$H$78,0))*고양시_Modal_split!E$3 * 0.01</f>
        <v>4.9780568700699994E-3</v>
      </c>
      <c r="BT85" s="207">
        <f>INDEX($A$78:$H$85,MATCH($L42,$B$78:$B$85,0),MATCH($BQ$77,$A$78:$H$78,0))*고양시_Modal_split!F$3 * 0.01</f>
        <v>8.0226329522920733E-3</v>
      </c>
      <c r="BU85" s="207">
        <f>INDEX($A$78:$H$85,MATCH($L42,$B$78:$B$85,0),MATCH($BQ$77,$A$78:$H$78,0))*고양시_Modal_split!G$3 * 0.01</f>
        <v>8.0488792978284708E-4</v>
      </c>
      <c r="BV85" s="207">
        <f>INDEX($A$78:$H$85,MATCH($L42,$B$78:$B$85,0),MATCH($BQ$77,$A$78:$H$78,0))*고양시_Modal_split!H$3 * 0.01</f>
        <v>8.7487818454657293E-6</v>
      </c>
      <c r="BW85" s="207">
        <f>INDEX($A$78:$H$85,MATCH($L42,$B$78:$B$85,0),MATCH($BQ$77,$A$78:$H$78,0))*고양시_Modal_split!I$3 * 0.01</f>
        <v>2.4321613530394726E-3</v>
      </c>
      <c r="BX85" s="207">
        <f>INDEX($A$78:$H$85,MATCH($L42,$B$78:$B$85,0),MATCH($BQ$77,$A$78:$H$78,0))*고양시_Modal_split!J$3 * 0.01</f>
        <v>2.6631291937597685E-2</v>
      </c>
      <c r="BY85" s="207">
        <f>INDEX($A$78:$H$85,MATCH($L42,$B$78:$B$85,0),MATCH($BQ$77,$A$78:$H$78,0))*고양시_Modal_split!K$3 * 0.01</f>
        <v>1.3123172768198595E-4</v>
      </c>
      <c r="BZ85" s="207">
        <f>INDEX($A$78:$H$85,MATCH($L42,$B$78:$B$85,0),MATCH($BQ$77,$A$78:$H$78,0))*고양시_Modal_split!L$3 * 0.01</f>
        <v>2.6421321173306501E-3</v>
      </c>
      <c r="CA85" s="207">
        <f>INDEX($A$78:$H$85,MATCH($L42,$B$78:$B$85,0),MATCH($BQ$77,$A$78:$H$78,0))*고양시_Modal_split!M$3 * 0.01</f>
        <v>2.0122198244571177E-4</v>
      </c>
      <c r="CB85" s="207">
        <f>INDEX($A$78:$H$85,MATCH($L42,$B$78:$B$85,0),MATCH($BQ$77,$A$78:$H$78,0))*고양시_Modal_split!N$3 * 0.01</f>
        <v>8.748781845465729E-5</v>
      </c>
      <c r="CC85" s="207">
        <f>INDEX($A$78:$H$85,MATCH($L42,$B$78:$B$85,0),MATCH($BQ$77,$A$78:$H$78,0))*고양시_Modal_split!O$3 * 0.01</f>
        <v>1.5747807321838311E-4</v>
      </c>
      <c r="CD85" s="207">
        <f>INDEX($A$78:$H$85,MATCH($L42,$B$78:$B$85,0),MATCH($BQ$77,$A$78:$H$78,0))*고양시_Modal_split!P$3 * 0.01</f>
        <v>8.7487818454657293E-2</v>
      </c>
      <c r="CE85" s="304">
        <f t="shared" si="21"/>
        <v>0.86021934324738281</v>
      </c>
      <c r="CF85" s="304">
        <f t="shared" si="17"/>
        <v>144.4861275461586</v>
      </c>
      <c r="CG85" s="304">
        <f t="shared" si="17"/>
        <v>17.480885939562889</v>
      </c>
      <c r="CH85" s="304">
        <f t="shared" si="17"/>
        <v>28.172183491351792</v>
      </c>
      <c r="CI85" s="304">
        <f t="shared" si="17"/>
        <v>2.8264349849556862</v>
      </c>
      <c r="CJ85" s="304">
        <f t="shared" si="17"/>
        <v>3.0722119401692241E-2</v>
      </c>
      <c r="CK85" s="304">
        <f t="shared" si="17"/>
        <v>8.5407491936704449</v>
      </c>
      <c r="CL85" s="304">
        <f t="shared" si="17"/>
        <v>93.518131458751185</v>
      </c>
      <c r="CM85" s="304">
        <f t="shared" si="17"/>
        <v>0.46083179102538357</v>
      </c>
      <c r="CN85" s="304">
        <f t="shared" si="17"/>
        <v>9.2780800593110566</v>
      </c>
      <c r="CO85" s="304">
        <f t="shared" si="17"/>
        <v>0.70660874623892156</v>
      </c>
      <c r="CP85" s="304">
        <f t="shared" si="17"/>
        <v>0.30722119401692238</v>
      </c>
      <c r="CQ85" s="304">
        <f t="shared" si="17"/>
        <v>0.55299814923046042</v>
      </c>
      <c r="CR85" s="304">
        <f t="shared" si="17"/>
        <v>307.22119401692242</v>
      </c>
      <c r="CS85" s="305">
        <f t="shared" si="22"/>
        <v>0</v>
      </c>
      <c r="CV85" s="267"/>
      <c r="CW85" s="267" t="s">
        <v>722</v>
      </c>
      <c r="CX85" s="267">
        <f>INDEX($M$77:$Z$85,MATCH($CW85,$L$77:$L$85,0),MATCH(CX$78,$M$78:$Z$78,0))/INDEX(고양시_재차인원!$D$4:$H$35,MATCH("고양시",고양시_재차인원!$B$4:$B$35,0),MATCH($CX$77,고양시_재차인원!$D$4:$H$4,0))</f>
        <v>14.904446348193112</v>
      </c>
      <c r="CY85" s="267">
        <f>INDEX($M$77:$Z$85,MATCH($CW85,$L$77:$L$85,0),MATCH(CY$78,$M$78:$Z$78,0))/INDEX(고양시_재차인원!$K$4:$O$20,MATCH("경기도",고양시_재차인원!$K$4:$K$20,0),MATCH(CY$78,고양시_재차인원!$K$4:$O$4,0))</f>
        <v>1.2328698360986677E-4</v>
      </c>
      <c r="CZ85" s="267">
        <f>INDEX($M$77:$Z$85,MATCH($CW85,$L$77:$L$85,0),MATCH(CZ$78,$M$78:$Z$78,0))/INDEX(고양시_재차인원!$K$4:$O$20,MATCH("경기도",고양시_재차인원!$K$4:$K$20,0),MATCH(CZ$78,고양시_재차인원!$K$4:$O$4,0))</f>
        <v>3.4273781443542962E-2</v>
      </c>
      <c r="DA85" s="267">
        <f>INDEX($M$77:$Z$85,MATCH($CW85,$L$77:$L$85,0),MATCH(DA$78,$M$78:$Z$78,0))/INDEX(고양시_재차인원!$D$4:$H$35,MATCH("고양시",고양시_재차인원!$B$4:$B$35,0),MATCH($CX$77,고양시_재차인원!$D$4:$H$4,0))</f>
        <v>0.95707905531667437</v>
      </c>
      <c r="DB85" s="267">
        <f>INDEX($AA$77:$AN$85,MATCH($CW85,$L$77:$L$85,0),MATCH(DB$78,$AA$78:$AN$78,0))/INDEX(고양시_재차인원!$D$4:$H$35,MATCH("고양시",고양시_재차인원!$B$4:$B$35,0),MATCH($DB$77,고양시_재차인원!$D$4:$H$4,0))</f>
        <v>85.681213253009361</v>
      </c>
      <c r="DC85" s="267">
        <f>INDEX($AA$77:$AN$85,MATCH($CW85,$L$77:$L$85,0),MATCH(DC$78,$AA$78:$AN$78,0))/INDEX(고양시_재차인원!$K$4:$O$20,MATCH("경기도",고양시_재차인원!$K$4:$K$20,0),MATCH(DC$78,고양시_재차인원!$K$4:$O$4,0))</f>
        <v>8.9225312264557205E-4</v>
      </c>
      <c r="DD85" s="267">
        <f>INDEX($AA$77:$AN$85,MATCH($CW85,$L$77:$L$85,0),MATCH(DD$78,$AA$78:$AN$78,0))/INDEX(고양시_재차인원!$K$4:$O$20,MATCH("경기도",고양시_재차인원!$K$4:$K$20,0),MATCH(DD$78,고양시_재차인원!$K$4:$O$4,0))</f>
        <v>0.24804636809546904</v>
      </c>
      <c r="DE85" s="267">
        <f>INDEX($AA$77:$AN$85,MATCH($CW85,$L$77:$L$85,0),MATCH(DE$78,$AA$78:$AN$78,0))/INDEX(고양시_재차인원!$D$4:$H$35,MATCH("고양시",고양시_재차인원!$B$4:$B$35,0),MATCH($DB$77,고양시_재차인원!$D$4:$H$4,0))</f>
        <v>5.5019618121218006</v>
      </c>
      <c r="DF85" s="267">
        <f>INDEX($AO$77:$BB$85,MATCH($CW85,$L$77:$L$85,0),MATCH(DF$78,$AO$78:$BB$78,0))/INDEX(고양시_재차인원!$D$4:$H$35,MATCH("고양시",고양시_재차인원!$B$4:$B$35,0),MATCH($DF$77,고양시_재차인원!$D$4:$H$4,0))</f>
        <v>5.3312307438258753</v>
      </c>
      <c r="DG85" s="267">
        <f>INDEX($AO$77:$BB$85,MATCH($CW85,$L$77:$L$85,0),MATCH(DG$78,$AO$78:$BB$78,0))/INDEX(고양시_재차인원!$K$4:$O$20,MATCH("경기도",고양시_재차인원!$K$4:$K$20,0),MATCH(DG$78,고양시_재차인원!$K$4:$O$4,0))</f>
        <v>5.1186353134240119E-5</v>
      </c>
      <c r="DH85" s="267">
        <f>INDEX($AO$77:$BB$85,MATCH($CW85,$L$77:$L$85,0),MATCH(DH$78,$AO$78:$BB$78,0))/INDEX(고양시_재차인원!$K$4:$O$20,MATCH("경기도",고양시_재차인원!$K$4:$K$20,0),MATCH(DH$78,고양시_재차인원!$K$4:$O$4,0))</f>
        <v>1.4229806171318754E-2</v>
      </c>
      <c r="DI85" s="267">
        <f>INDEX($AO$77:$BB$85,MATCH($CW85,$L$77:$L$85,0),MATCH(DI$78,$AO$78:$BB$78,0))/INDEX(고양시_재차인원!$D$4:$H$35,MATCH("고양시",고양시_재차인원!$B$4:$B$35,0),MATCH($DF$77,고양시_재차인원!$D$4:$H$4,0))</f>
        <v>0.34234141710300114</v>
      </c>
      <c r="DJ85" s="267">
        <f>INDEX($BC$77:$BP$85,MATCH($CW85,$L$77:$L$85,0),MATCH(DJ$78,$BC$78:$BP$78,0))/INDEX(고양시_재차인원!$D$4:$H$35,MATCH("고양시",고양시_재차인원!$B$4:$B$35,0),MATCH($DJ$77,고양시_재차인원!$D$4:$H$4,0))</f>
        <v>8.0084275340187461E-3</v>
      </c>
      <c r="DK85" s="267">
        <f>INDEX($BC$77:$BP$85,MATCH($CW85,$L$77:$L$85,0),MATCH(DK$78,$BC$78:$BP$78,0))/INDEX(고양시_재차인원!$K$4:$O$20,MATCH("경기도",고양시_재차인원!$K$4:$K$20,0),MATCH(DK$78,고양시_재차인원!$K$4:$O$4,0))</f>
        <v>8.0439528236102552E-8</v>
      </c>
      <c r="DL85" s="267">
        <f>INDEX($BC$77:$BP$85,MATCH($CW85,$L$77:$L$85,0),MATCH(DL$78,$BC$78:$BP$78,0))/INDEX(고양시_재차인원!$K$4:$O$20,MATCH("경기도",고양시_재차인원!$K$4:$K$20,0),MATCH(DL$78,고양시_재차인원!$K$4:$O$4,0))</f>
        <v>2.2362188849636508E-5</v>
      </c>
      <c r="DM85" s="267">
        <f>INDEX($BC$77:$BP$85,MATCH($CW85,$L$77:$L$85,0),MATCH(DM$78,$BC$78:$BP$78,0))/INDEX(고양시_재차인원!$D$4:$H$35,MATCH("고양시",고양시_재차인원!$B$4:$B$35,0),MATCH($DJ$77,고양시_재차인원!$D$4:$H$4,0))</f>
        <v>5.1425581868459736E-4</v>
      </c>
      <c r="DN85" s="267">
        <f>INDEX($BQ$77:$CD$85,MATCH($CW85,$L$77:$L$85,0),MATCH(DN$78,$BQ$78:$CD$78,0))/INDEX(고양시_재차인원!$D$4:$H$35,MATCH("고양시",고양시_재차인원!$B$4:$B$35,0),MATCH($DN$77,고양시_재차인원!$D$4:$H$4,0))</f>
        <v>3.2655175412083591E-2</v>
      </c>
      <c r="DO85" s="267">
        <f>INDEX($BQ$77:$CD$85,MATCH($CW85,$L$77:$L$85,0),MATCH(DO$78,$BQ$78:$CD$78,0))/INDEX(고양시_재차인원!$K$4:$O$20,MATCH("경기도",고양시_재차인원!$K$4:$K$20,0),MATCH(DO$78,고양시_재차인원!$K$4:$O$4,0))</f>
        <v>3.0388266222527716E-7</v>
      </c>
      <c r="DP85" s="267">
        <f>INDEX($BQ$77:$CD$85,MATCH($CW85,$L$77:$L$85,0),MATCH(DP$78,$BQ$78:$CD$78,0))/INDEX(고양시_재차인원!$K$4:$O$20,MATCH("경기도",고양시_재차인원!$K$4:$K$20,0),MATCH(DP$78,고양시_재차인원!$K$4:$O$4,0))</f>
        <v>8.4479380098627041E-5</v>
      </c>
      <c r="DQ85" s="267">
        <f>INDEX($BQ$77:$CD$85,MATCH($CW85,$L$77:$L$85,0),MATCH(DQ$78,$BQ$78:$CD$78,0))/INDEX(고양시_재차인원!$D$4:$H$35,MATCH("고양시",고양시_재차인원!$B$4:$B$35,0),MATCH($DN$77,고양시_재차인원!$D$4:$H$4,0))</f>
        <v>2.0969302518497224E-3</v>
      </c>
      <c r="DR85" s="270">
        <f t="shared" si="23"/>
        <v>105.95755394797446</v>
      </c>
      <c r="DS85" s="270">
        <f t="shared" si="18"/>
        <v>1.0671107815801403E-3</v>
      </c>
      <c r="DT85" s="270">
        <f t="shared" si="18"/>
        <v>0.29665679727927907</v>
      </c>
      <c r="DU85" s="270">
        <f t="shared" si="18"/>
        <v>6.80399347061201</v>
      </c>
      <c r="DW85" s="278"/>
      <c r="DX85" s="278" t="s">
        <v>722</v>
      </c>
      <c r="DY85" s="281">
        <f t="shared" si="24"/>
        <v>112.76154741858647</v>
      </c>
      <c r="DZ85" s="281">
        <f t="shared" si="25"/>
        <v>0.29772390806085919</v>
      </c>
      <c r="EB85" s="278"/>
      <c r="EC85" s="278" t="s">
        <v>301</v>
      </c>
      <c r="ED85" s="281">
        <f t="shared" si="26"/>
        <v>112.76154741858647</v>
      </c>
      <c r="EE85" s="281">
        <f t="shared" si="19"/>
        <v>0.29772390806085919</v>
      </c>
      <c r="FE85" t="s">
        <v>12</v>
      </c>
      <c r="FF85" t="s">
        <v>362</v>
      </c>
      <c r="FG85">
        <v>22890.217400000001</v>
      </c>
      <c r="FH85" s="277" t="e">
        <f t="shared" si="27"/>
        <v>#DIV/0!</v>
      </c>
    </row>
    <row r="86" spans="1:164">
      <c r="H86">
        <f>SUM(H79:H85)</f>
        <v>2240.6665750300876</v>
      </c>
      <c r="I86" t="b">
        <f>H86=SUM(D8:D10,D11:D14)  * (1+KTDB_발생량도착량_증가율!$C$8)</f>
        <v>0</v>
      </c>
      <c r="DW86" s="278"/>
      <c r="DX86" s="278" t="s">
        <v>26</v>
      </c>
      <c r="DY86" s="281">
        <f>SUM(DY79:DY85)</f>
        <v>822.40755250622408</v>
      </c>
      <c r="DZ86" s="281">
        <f>SUM(DZ79:DZ85)</f>
        <v>2.171399702790533</v>
      </c>
      <c r="EC86" s="278" t="s">
        <v>26</v>
      </c>
      <c r="ED86" s="281">
        <f>DY86</f>
        <v>822.40755250622408</v>
      </c>
      <c r="EE86" s="281">
        <f>DZ86</f>
        <v>2.171399702790533</v>
      </c>
    </row>
    <row r="87" spans="1:164">
      <c r="ED87" s="230">
        <f>SUM(ED79:ED85)-ED86</f>
        <v>0</v>
      </c>
      <c r="EE87" s="230" t="b">
        <f>SUM(EE79:EE85)=EE86</f>
        <v>1</v>
      </c>
    </row>
  </sheetData>
  <mergeCells count="46">
    <mergeCell ref="X20:X21"/>
    <mergeCell ref="U24:U25"/>
    <mergeCell ref="M34:Z34"/>
    <mergeCell ref="AA34:AN34"/>
    <mergeCell ref="AO34:BB34"/>
    <mergeCell ref="T18:T27"/>
    <mergeCell ref="V20:V21"/>
    <mergeCell ref="W20:W21"/>
    <mergeCell ref="DJ34:DM34"/>
    <mergeCell ref="DN34:DQ34"/>
    <mergeCell ref="DR34:DU34"/>
    <mergeCell ref="DY34:DZ34"/>
    <mergeCell ref="BC34:BP34"/>
    <mergeCell ref="BQ34:CD34"/>
    <mergeCell ref="CE34:CR34"/>
    <mergeCell ref="CX34:DA34"/>
    <mergeCell ref="DB34:DE34"/>
    <mergeCell ref="ED34:EE34"/>
    <mergeCell ref="M77:Z77"/>
    <mergeCell ref="AA77:AN77"/>
    <mergeCell ref="AO77:BB77"/>
    <mergeCell ref="BC77:BP77"/>
    <mergeCell ref="BQ77:CD77"/>
    <mergeCell ref="CE77:CR77"/>
    <mergeCell ref="CX77:DA77"/>
    <mergeCell ref="DB77:DE77"/>
    <mergeCell ref="DF77:DI77"/>
    <mergeCell ref="DJ77:DM77"/>
    <mergeCell ref="DN77:DQ77"/>
    <mergeCell ref="DR77:DU77"/>
    <mergeCell ref="DY77:DZ77"/>
    <mergeCell ref="ED77:EE77"/>
    <mergeCell ref="DF34:DI34"/>
    <mergeCell ref="AB7:AC8"/>
    <mergeCell ref="AE7:AG7"/>
    <mergeCell ref="A16:B16"/>
    <mergeCell ref="A6:B7"/>
    <mergeCell ref="C6:C7"/>
    <mergeCell ref="D6:F6"/>
    <mergeCell ref="AB6:AC6"/>
    <mergeCell ref="X10:X11"/>
    <mergeCell ref="U14:U15"/>
    <mergeCell ref="T7:V7"/>
    <mergeCell ref="T8:T17"/>
    <mergeCell ref="V10:V11"/>
    <mergeCell ref="W10:W1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R188"/>
  <sheetViews>
    <sheetView topLeftCell="DQ118" zoomScale="70" zoomScaleNormal="70" workbookViewId="0">
      <selection activeCell="FB132" sqref="FB132"/>
    </sheetView>
  </sheetViews>
  <sheetFormatPr defaultRowHeight="17"/>
  <cols>
    <col min="1" max="1" width="8.6640625" customWidth="1"/>
    <col min="13" max="13" width="11.9140625" bestFit="1" customWidth="1"/>
    <col min="17" max="17" width="11.75" bestFit="1" customWidth="1"/>
    <col min="22" max="22" width="15.08203125" bestFit="1" customWidth="1"/>
    <col min="46" max="46" width="15.08203125" bestFit="1" customWidth="1"/>
    <col min="142" max="142" width="29.75" bestFit="1" customWidth="1"/>
  </cols>
  <sheetData>
    <row r="1" spans="1:52">
      <c r="A1" s="32" t="s">
        <v>234</v>
      </c>
      <c r="B1" t="s">
        <v>237</v>
      </c>
      <c r="V1" s="32" t="s">
        <v>242</v>
      </c>
      <c r="W1" t="s">
        <v>241</v>
      </c>
    </row>
    <row r="2" spans="1:52">
      <c r="B2" t="s">
        <v>153</v>
      </c>
      <c r="C2" t="s">
        <v>864</v>
      </c>
      <c r="W2" t="s">
        <v>239</v>
      </c>
      <c r="X2" t="s">
        <v>240</v>
      </c>
    </row>
    <row r="3" spans="1:52">
      <c r="W3" t="s">
        <v>238</v>
      </c>
    </row>
    <row r="4" spans="1:52" ht="20.5">
      <c r="AR4" s="364" t="s">
        <v>773</v>
      </c>
      <c r="AZ4" s="364" t="s">
        <v>773</v>
      </c>
    </row>
    <row r="5" spans="1:52" ht="20.5">
      <c r="AP5" s="364" t="s">
        <v>780</v>
      </c>
      <c r="AR5" t="s">
        <v>772</v>
      </c>
    </row>
    <row r="6" spans="1:52">
      <c r="AP6" t="s">
        <v>779</v>
      </c>
      <c r="AR6" t="s">
        <v>776</v>
      </c>
      <c r="AZ6" s="32" t="s">
        <v>777</v>
      </c>
    </row>
    <row r="7" spans="1:52">
      <c r="AO7" t="s">
        <v>781</v>
      </c>
      <c r="AP7" t="s">
        <v>775</v>
      </c>
      <c r="AR7" s="98"/>
      <c r="AS7" s="98" t="s">
        <v>763</v>
      </c>
      <c r="AT7" s="98" t="s">
        <v>764</v>
      </c>
      <c r="AU7" s="363" t="s">
        <v>765</v>
      </c>
      <c r="AV7" s="306" t="s">
        <v>766</v>
      </c>
      <c r="AW7" s="98" t="s">
        <v>767</v>
      </c>
      <c r="AX7" s="98" t="s">
        <v>768</v>
      </c>
      <c r="AZ7" s="368">
        <v>2.8500000000000001E-2</v>
      </c>
    </row>
    <row r="8" spans="1:52">
      <c r="AO8" s="97">
        <f>AP73</f>
        <v>0</v>
      </c>
      <c r="AP8">
        <v>2023</v>
      </c>
      <c r="AR8" s="98"/>
      <c r="AS8" s="98"/>
      <c r="AT8" s="369">
        <v>0</v>
      </c>
      <c r="AU8" s="371">
        <v>1</v>
      </c>
      <c r="AV8" s="370">
        <v>2</v>
      </c>
      <c r="AW8" s="369">
        <v>3</v>
      </c>
      <c r="AX8" s="369">
        <v>4</v>
      </c>
    </row>
    <row r="9" spans="1:52" ht="17.5" thickBot="1">
      <c r="A9" t="s">
        <v>312</v>
      </c>
      <c r="AR9" s="98" t="s">
        <v>769</v>
      </c>
      <c r="AS9" s="98">
        <v>100000</v>
      </c>
      <c r="AT9" s="365">
        <v>0.3</v>
      </c>
      <c r="AU9" s="372">
        <v>0.7</v>
      </c>
      <c r="AV9" s="366">
        <v>0.85</v>
      </c>
      <c r="AW9" s="365">
        <v>0.95</v>
      </c>
      <c r="AX9" s="365">
        <v>1</v>
      </c>
    </row>
    <row r="10" spans="1:52" ht="18" thickTop="1" thickBot="1">
      <c r="A10" s="503" t="s">
        <v>27</v>
      </c>
      <c r="B10" s="505"/>
      <c r="C10" s="125" t="s">
        <v>44</v>
      </c>
      <c r="D10" s="125" t="s">
        <v>45</v>
      </c>
      <c r="E10" s="125" t="s">
        <v>46</v>
      </c>
      <c r="F10" s="126" t="s">
        <v>11</v>
      </c>
      <c r="AR10" s="98" t="s">
        <v>770</v>
      </c>
      <c r="AS10" s="98">
        <v>50000</v>
      </c>
      <c r="AT10" s="365">
        <v>0.5</v>
      </c>
      <c r="AU10" s="372">
        <v>0.8</v>
      </c>
      <c r="AV10" s="366">
        <v>0.9</v>
      </c>
      <c r="AW10" s="365">
        <v>1</v>
      </c>
      <c r="AX10" s="365">
        <v>1</v>
      </c>
    </row>
    <row r="11" spans="1:52" ht="29.5" thickTop="1">
      <c r="A11" s="507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  <c r="AR11" s="306" t="s">
        <v>771</v>
      </c>
      <c r="AS11" s="306">
        <v>49999</v>
      </c>
      <c r="AT11" s="366">
        <v>0.7</v>
      </c>
      <c r="AU11" s="373">
        <v>0.9</v>
      </c>
      <c r="AV11" s="367">
        <v>1</v>
      </c>
      <c r="AW11" s="366">
        <v>1</v>
      </c>
      <c r="AX11" s="366">
        <v>1</v>
      </c>
    </row>
    <row r="12" spans="1:52" ht="29.5" thickBot="1">
      <c r="A12" s="511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52" ht="17.5" thickTop="1"/>
    <row r="16" spans="1:52" ht="18" thickBot="1">
      <c r="A16" s="157" t="s">
        <v>308</v>
      </c>
      <c r="L16" t="s">
        <v>245</v>
      </c>
      <c r="O16" s="157" t="s">
        <v>318</v>
      </c>
      <c r="X16" t="s">
        <v>245</v>
      </c>
    </row>
    <row r="17" spans="1:52" ht="17.5" thickTop="1">
      <c r="A17" s="523" t="s">
        <v>175</v>
      </c>
      <c r="B17" s="524"/>
      <c r="C17" s="524"/>
      <c r="D17" s="524"/>
      <c r="E17" s="525"/>
      <c r="F17" s="479" t="s">
        <v>165</v>
      </c>
      <c r="G17" s="480"/>
      <c r="H17" s="481"/>
      <c r="I17" s="105" t="s">
        <v>284</v>
      </c>
      <c r="J17" s="105" t="s">
        <v>286</v>
      </c>
      <c r="K17" s="105" t="s">
        <v>287</v>
      </c>
      <c r="L17" s="482" t="s">
        <v>21</v>
      </c>
      <c r="O17" s="527" t="s">
        <v>1</v>
      </c>
      <c r="P17" s="531" t="s">
        <v>288</v>
      </c>
      <c r="Q17" s="531"/>
      <c r="R17" s="531"/>
      <c r="S17" s="531"/>
      <c r="T17" s="531"/>
      <c r="U17" s="531"/>
      <c r="V17" s="531"/>
      <c r="W17" s="531"/>
      <c r="X17" s="531" t="s">
        <v>306</v>
      </c>
      <c r="Y17" s="531"/>
      <c r="Z17" s="531"/>
      <c r="AA17" s="531"/>
      <c r="AB17" s="531"/>
      <c r="AC17" s="531"/>
      <c r="AD17" s="531"/>
      <c r="AE17" s="531"/>
      <c r="AJ17" s="527" t="s">
        <v>1</v>
      </c>
      <c r="AK17" s="531" t="s">
        <v>288</v>
      </c>
      <c r="AL17" s="531"/>
      <c r="AM17" s="531"/>
      <c r="AN17" s="531"/>
      <c r="AO17" s="531"/>
      <c r="AP17" s="531"/>
      <c r="AQ17" s="531"/>
      <c r="AR17" s="531"/>
      <c r="AS17" s="531" t="s">
        <v>306</v>
      </c>
      <c r="AT17" s="531"/>
      <c r="AU17" s="531"/>
      <c r="AV17" s="531"/>
      <c r="AW17" s="531"/>
      <c r="AX17" s="531"/>
      <c r="AY17" s="531"/>
      <c r="AZ17" s="531"/>
    </row>
    <row r="18" spans="1:52" ht="17.5" thickBot="1">
      <c r="A18" s="526"/>
      <c r="B18" s="488"/>
      <c r="C18" s="488"/>
      <c r="D18" s="488"/>
      <c r="E18" s="489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83"/>
      <c r="O18" s="527"/>
      <c r="P18" s="520" t="s">
        <v>327</v>
      </c>
      <c r="Q18" s="521"/>
      <c r="R18" s="521"/>
      <c r="S18" s="521"/>
      <c r="T18" s="521"/>
      <c r="U18" s="522"/>
      <c r="V18" s="519" t="s">
        <v>250</v>
      </c>
      <c r="W18" s="519"/>
      <c r="X18" s="520" t="s">
        <v>327</v>
      </c>
      <c r="Y18" s="521"/>
      <c r="Z18" s="521"/>
      <c r="AA18" s="521"/>
      <c r="AB18" s="521"/>
      <c r="AC18" s="522"/>
      <c r="AD18" s="519" t="s">
        <v>250</v>
      </c>
      <c r="AE18" s="519"/>
      <c r="AJ18" s="527"/>
      <c r="AK18" s="520" t="s">
        <v>327</v>
      </c>
      <c r="AL18" s="521"/>
      <c r="AM18" s="521"/>
      <c r="AN18" s="521"/>
      <c r="AO18" s="521"/>
      <c r="AP18" s="522"/>
      <c r="AQ18" s="519" t="s">
        <v>250</v>
      </c>
      <c r="AR18" s="519"/>
      <c r="AS18" s="520" t="s">
        <v>327</v>
      </c>
      <c r="AT18" s="521"/>
      <c r="AU18" s="521"/>
      <c r="AV18" s="521"/>
      <c r="AW18" s="521"/>
      <c r="AX18" s="522"/>
      <c r="AY18" s="519" t="s">
        <v>250</v>
      </c>
      <c r="AZ18" s="519"/>
    </row>
    <row r="19" spans="1:52" ht="18" customHeight="1" thickTop="1">
      <c r="A19" s="507" t="s">
        <v>288</v>
      </c>
      <c r="B19" s="528" t="s">
        <v>26</v>
      </c>
      <c r="C19" s="529"/>
      <c r="D19" s="529"/>
      <c r="E19" s="530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527"/>
      <c r="P19" s="519" t="s">
        <v>325</v>
      </c>
      <c r="Q19" s="519"/>
      <c r="R19" s="519"/>
      <c r="S19" s="519"/>
      <c r="T19" s="519" t="s">
        <v>136</v>
      </c>
      <c r="U19" s="519"/>
      <c r="V19" s="519"/>
      <c r="W19" s="519"/>
      <c r="X19" s="519" t="s">
        <v>325</v>
      </c>
      <c r="Y19" s="519"/>
      <c r="Z19" s="519"/>
      <c r="AA19" s="519"/>
      <c r="AB19" s="519" t="s">
        <v>136</v>
      </c>
      <c r="AC19" s="519"/>
      <c r="AD19" s="519"/>
      <c r="AE19" s="519"/>
      <c r="AJ19" s="527"/>
      <c r="AK19" s="519" t="s">
        <v>325</v>
      </c>
      <c r="AL19" s="519"/>
      <c r="AM19" s="519"/>
      <c r="AN19" s="519"/>
      <c r="AO19" s="519" t="s">
        <v>136</v>
      </c>
      <c r="AP19" s="519"/>
      <c r="AQ19" s="519"/>
      <c r="AR19" s="519"/>
      <c r="AS19" s="519" t="s">
        <v>325</v>
      </c>
      <c r="AT19" s="519"/>
      <c r="AU19" s="519"/>
      <c r="AV19" s="519"/>
      <c r="AW19" s="519" t="s">
        <v>136</v>
      </c>
      <c r="AX19" s="519"/>
      <c r="AY19" s="519"/>
      <c r="AZ19" s="519"/>
    </row>
    <row r="20" spans="1:52">
      <c r="A20" s="508"/>
      <c r="B20" s="300" t="s">
        <v>289</v>
      </c>
      <c r="C20" s="490" t="s">
        <v>11</v>
      </c>
      <c r="D20" s="491"/>
      <c r="E20" s="496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527"/>
      <c r="P20" s="297" t="s">
        <v>314</v>
      </c>
      <c r="Q20" s="297" t="s">
        <v>285</v>
      </c>
      <c r="R20" s="104"/>
      <c r="S20" s="519" t="s">
        <v>166</v>
      </c>
      <c r="T20" s="519" t="s">
        <v>9</v>
      </c>
      <c r="U20" s="519" t="s">
        <v>10</v>
      </c>
      <c r="V20" s="519" t="s">
        <v>9</v>
      </c>
      <c r="W20" s="519" t="s">
        <v>10</v>
      </c>
      <c r="X20" s="297" t="s">
        <v>314</v>
      </c>
      <c r="Y20" s="297" t="s">
        <v>285</v>
      </c>
      <c r="Z20" s="104"/>
      <c r="AA20" s="519" t="s">
        <v>166</v>
      </c>
      <c r="AB20" s="519" t="s">
        <v>9</v>
      </c>
      <c r="AC20" s="519" t="s">
        <v>10</v>
      </c>
      <c r="AD20" s="519" t="s">
        <v>9</v>
      </c>
      <c r="AE20" s="519" t="s">
        <v>10</v>
      </c>
      <c r="AJ20" s="527"/>
      <c r="AK20" s="297" t="s">
        <v>314</v>
      </c>
      <c r="AL20" s="297" t="s">
        <v>285</v>
      </c>
      <c r="AM20" s="104"/>
      <c r="AN20" s="519" t="s">
        <v>166</v>
      </c>
      <c r="AO20" s="519" t="s">
        <v>9</v>
      </c>
      <c r="AP20" s="519" t="s">
        <v>10</v>
      </c>
      <c r="AQ20" s="519" t="s">
        <v>9</v>
      </c>
      <c r="AR20" s="519" t="s">
        <v>10</v>
      </c>
      <c r="AS20" s="297" t="s">
        <v>314</v>
      </c>
      <c r="AT20" s="297" t="s">
        <v>285</v>
      </c>
      <c r="AU20" s="104"/>
      <c r="AV20" s="519" t="s">
        <v>166</v>
      </c>
      <c r="AW20" s="519" t="s">
        <v>9</v>
      </c>
      <c r="AX20" s="519" t="s">
        <v>10</v>
      </c>
      <c r="AY20" s="519" t="s">
        <v>9</v>
      </c>
      <c r="AZ20" s="519" t="s">
        <v>10</v>
      </c>
    </row>
    <row r="21" spans="1:52">
      <c r="A21" s="508"/>
      <c r="B21" s="295" t="s">
        <v>290</v>
      </c>
      <c r="C21" s="300" t="s">
        <v>291</v>
      </c>
      <c r="D21" s="490" t="s">
        <v>292</v>
      </c>
      <c r="E21" s="496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527"/>
      <c r="P21" s="297" t="s">
        <v>44</v>
      </c>
      <c r="Q21" s="297" t="s">
        <v>45</v>
      </c>
      <c r="R21" s="297" t="s">
        <v>46</v>
      </c>
      <c r="S21" s="519"/>
      <c r="T21" s="519"/>
      <c r="U21" s="519"/>
      <c r="V21" s="519"/>
      <c r="W21" s="519"/>
      <c r="X21" s="297" t="s">
        <v>44</v>
      </c>
      <c r="Y21" s="297" t="s">
        <v>45</v>
      </c>
      <c r="Z21" s="297" t="s">
        <v>46</v>
      </c>
      <c r="AA21" s="519"/>
      <c r="AB21" s="519"/>
      <c r="AC21" s="519"/>
      <c r="AD21" s="519"/>
      <c r="AE21" s="519"/>
      <c r="AJ21" s="527"/>
      <c r="AK21" s="297" t="s">
        <v>44</v>
      </c>
      <c r="AL21" s="297" t="s">
        <v>45</v>
      </c>
      <c r="AM21" s="297" t="s">
        <v>46</v>
      </c>
      <c r="AN21" s="519"/>
      <c r="AO21" s="519"/>
      <c r="AP21" s="519"/>
      <c r="AQ21" s="519"/>
      <c r="AR21" s="519"/>
      <c r="AS21" s="297" t="s">
        <v>44</v>
      </c>
      <c r="AT21" s="297" t="s">
        <v>45</v>
      </c>
      <c r="AU21" s="297" t="s">
        <v>46</v>
      </c>
      <c r="AV21" s="519"/>
      <c r="AW21" s="519"/>
      <c r="AX21" s="519"/>
      <c r="AY21" s="519"/>
      <c r="AZ21" s="519"/>
    </row>
    <row r="22" spans="1:52">
      <c r="A22" s="508"/>
      <c r="B22" s="295" t="s">
        <v>19</v>
      </c>
      <c r="C22" s="296" t="s">
        <v>289</v>
      </c>
      <c r="D22" s="490" t="s">
        <v>293</v>
      </c>
      <c r="E22" s="496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298" t="s">
        <v>156</v>
      </c>
      <c r="P22" s="141">
        <f>AK22*0.01</f>
        <v>0.40700000000000003</v>
      </c>
      <c r="Q22" s="141">
        <f t="shared" ref="Q22:AE26" si="0">AL22*0.01</f>
        <v>7.0000000000000007E-2</v>
      </c>
      <c r="R22" s="141">
        <f t="shared" si="0"/>
        <v>0.28199999999999997</v>
      </c>
      <c r="S22" s="141">
        <f t="shared" si="0"/>
        <v>0.253</v>
      </c>
      <c r="T22" s="141">
        <f t="shared" si="0"/>
        <v>0.26600000000000001</v>
      </c>
      <c r="U22" s="141">
        <f t="shared" si="0"/>
        <v>0.28500000000000003</v>
      </c>
      <c r="V22" s="141">
        <f t="shared" si="0"/>
        <v>0.371</v>
      </c>
      <c r="W22" s="141">
        <f t="shared" si="0"/>
        <v>0.34899999999999998</v>
      </c>
      <c r="X22" s="141">
        <f t="shared" si="0"/>
        <v>0.40799999999999997</v>
      </c>
      <c r="Y22" s="141">
        <f t="shared" si="0"/>
        <v>7.0999999999999994E-2</v>
      </c>
      <c r="Z22" s="141">
        <f t="shared" si="0"/>
        <v>0.28399999999999997</v>
      </c>
      <c r="AA22" s="141">
        <f t="shared" si="0"/>
        <v>0.254</v>
      </c>
      <c r="AB22" s="141">
        <f t="shared" si="0"/>
        <v>0.26700000000000002</v>
      </c>
      <c r="AC22" s="141">
        <f t="shared" si="0"/>
        <v>0.28699999999999998</v>
      </c>
      <c r="AD22" s="141">
        <f t="shared" si="0"/>
        <v>0.37200000000000005</v>
      </c>
      <c r="AE22" s="141">
        <f t="shared" si="0"/>
        <v>0.35100000000000003</v>
      </c>
      <c r="AJ22" s="298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508"/>
      <c r="B23" s="112"/>
      <c r="C23" s="300" t="s">
        <v>294</v>
      </c>
      <c r="D23" s="490" t="s">
        <v>292</v>
      </c>
      <c r="E23" s="496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298" t="s">
        <v>157</v>
      </c>
      <c r="P23" s="141">
        <f t="shared" ref="P23:P26" si="1">AK23*0.01</f>
        <v>5.9000000000000004E-2</v>
      </c>
      <c r="Q23" s="141">
        <f t="shared" si="0"/>
        <v>2.4E-2</v>
      </c>
      <c r="R23" s="141">
        <f t="shared" si="0"/>
        <v>7.0000000000000007E-2</v>
      </c>
      <c r="S23" s="141">
        <f t="shared" si="0"/>
        <v>7.400000000000001E-2</v>
      </c>
      <c r="T23" s="141">
        <f t="shared" si="0"/>
        <v>1.9E-2</v>
      </c>
      <c r="U23" s="141">
        <f t="shared" si="0"/>
        <v>3.9E-2</v>
      </c>
      <c r="V23" s="141">
        <f t="shared" si="0"/>
        <v>9.6000000000000002E-2</v>
      </c>
      <c r="W23" s="141">
        <f t="shared" si="0"/>
        <v>9.3000000000000013E-2</v>
      </c>
      <c r="X23" s="141">
        <f t="shared" si="0"/>
        <v>5.9000000000000004E-2</v>
      </c>
      <c r="Y23" s="141">
        <f t="shared" si="0"/>
        <v>2.4E-2</v>
      </c>
      <c r="Z23" s="141">
        <f t="shared" si="0"/>
        <v>7.0999999999999994E-2</v>
      </c>
      <c r="AA23" s="141">
        <f t="shared" si="0"/>
        <v>7.4999999999999997E-2</v>
      </c>
      <c r="AB23" s="141">
        <f t="shared" si="0"/>
        <v>1.9E-2</v>
      </c>
      <c r="AC23" s="141">
        <f t="shared" si="0"/>
        <v>3.9E-2</v>
      </c>
      <c r="AD23" s="141">
        <f t="shared" si="0"/>
        <v>9.6999999999999989E-2</v>
      </c>
      <c r="AE23" s="141">
        <f t="shared" si="0"/>
        <v>9.4E-2</v>
      </c>
      <c r="AJ23" s="298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508"/>
      <c r="B24" s="112"/>
      <c r="C24" s="295" t="s">
        <v>289</v>
      </c>
      <c r="D24" s="515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298" t="s">
        <v>158</v>
      </c>
      <c r="P24" s="141">
        <f t="shared" si="1"/>
        <v>0.40100000000000002</v>
      </c>
      <c r="Q24" s="141">
        <f t="shared" si="0"/>
        <v>0.39100000000000001</v>
      </c>
      <c r="R24" s="141">
        <f t="shared" si="0"/>
        <v>0.40799999999999997</v>
      </c>
      <c r="S24" s="141">
        <f t="shared" si="0"/>
        <v>0.42</v>
      </c>
      <c r="T24" s="141">
        <f t="shared" si="0"/>
        <v>0.55299999999999994</v>
      </c>
      <c r="U24" s="141">
        <f t="shared" si="0"/>
        <v>0.19700000000000001</v>
      </c>
      <c r="V24" s="141">
        <f t="shared" si="0"/>
        <v>0.34799999999999998</v>
      </c>
      <c r="W24" s="141">
        <f t="shared" si="0"/>
        <v>0.35799999999999998</v>
      </c>
      <c r="X24" s="141">
        <f t="shared" si="0"/>
        <v>0.4</v>
      </c>
      <c r="Y24" s="141">
        <f t="shared" si="0"/>
        <v>0.39200000000000002</v>
      </c>
      <c r="Z24" s="141">
        <f t="shared" si="0"/>
        <v>0.40799999999999997</v>
      </c>
      <c r="AA24" s="141">
        <f t="shared" si="0"/>
        <v>0.42</v>
      </c>
      <c r="AB24" s="141">
        <f t="shared" si="0"/>
        <v>0.55299999999999994</v>
      </c>
      <c r="AC24" s="141">
        <f t="shared" si="0"/>
        <v>0.19700000000000001</v>
      </c>
      <c r="AD24" s="141">
        <f t="shared" si="0"/>
        <v>0.34799999999999998</v>
      </c>
      <c r="AE24" s="141">
        <f t="shared" si="0"/>
        <v>0.35700000000000004</v>
      </c>
      <c r="AJ24" s="298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508"/>
      <c r="B25" s="112"/>
      <c r="C25" s="112"/>
      <c r="D25" s="494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298" t="s">
        <v>46</v>
      </c>
      <c r="P25" s="141">
        <f t="shared" si="1"/>
        <v>0.13300000000000001</v>
      </c>
      <c r="Q25" s="141">
        <f t="shared" si="0"/>
        <v>0.51400000000000001</v>
      </c>
      <c r="R25" s="141">
        <f t="shared" si="0"/>
        <v>0.23899999999999999</v>
      </c>
      <c r="S25" s="141">
        <f t="shared" si="0"/>
        <v>0.253</v>
      </c>
      <c r="T25" s="141">
        <f t="shared" si="0"/>
        <v>0.16200000000000001</v>
      </c>
      <c r="U25" s="141">
        <f t="shared" si="0"/>
        <v>0.47899999999999998</v>
      </c>
      <c r="V25" s="141">
        <f t="shared" si="0"/>
        <v>0.185</v>
      </c>
      <c r="W25" s="141">
        <f t="shared" si="0"/>
        <v>0.19899999999999998</v>
      </c>
      <c r="X25" s="141">
        <f t="shared" si="0"/>
        <v>0.13200000000000001</v>
      </c>
      <c r="Y25" s="141">
        <f t="shared" si="0"/>
        <v>0.51300000000000001</v>
      </c>
      <c r="Z25" s="141">
        <f t="shared" si="0"/>
        <v>0.23800000000000002</v>
      </c>
      <c r="AA25" s="141">
        <f t="shared" si="0"/>
        <v>0.251</v>
      </c>
      <c r="AB25" s="141">
        <f t="shared" si="0"/>
        <v>0.161</v>
      </c>
      <c r="AC25" s="141">
        <f t="shared" si="0"/>
        <v>0.47600000000000003</v>
      </c>
      <c r="AD25" s="141">
        <f t="shared" si="0"/>
        <v>0.18300000000000002</v>
      </c>
      <c r="AE25" s="141">
        <f t="shared" si="0"/>
        <v>0.19800000000000001</v>
      </c>
      <c r="AJ25" s="298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508"/>
      <c r="B26" s="112"/>
      <c r="C26" s="112"/>
      <c r="D26" s="495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298" t="s">
        <v>11</v>
      </c>
      <c r="P26" s="141">
        <f t="shared" si="1"/>
        <v>1</v>
      </c>
      <c r="Q26" s="141">
        <f t="shared" si="0"/>
        <v>1</v>
      </c>
      <c r="R26" s="141">
        <f t="shared" si="0"/>
        <v>1</v>
      </c>
      <c r="S26" s="141">
        <f t="shared" si="0"/>
        <v>1</v>
      </c>
      <c r="T26" s="141">
        <f t="shared" si="0"/>
        <v>1</v>
      </c>
      <c r="U26" s="141">
        <f t="shared" si="0"/>
        <v>1</v>
      </c>
      <c r="V26" s="141">
        <f t="shared" si="0"/>
        <v>1</v>
      </c>
      <c r="W26" s="141">
        <f t="shared" si="0"/>
        <v>1</v>
      </c>
      <c r="X26" s="141">
        <f t="shared" si="0"/>
        <v>1</v>
      </c>
      <c r="Y26" s="141">
        <f t="shared" si="0"/>
        <v>1</v>
      </c>
      <c r="Z26" s="141">
        <f t="shared" si="0"/>
        <v>1</v>
      </c>
      <c r="AA26" s="141">
        <f t="shared" si="0"/>
        <v>1</v>
      </c>
      <c r="AB26" s="141">
        <f t="shared" si="0"/>
        <v>1</v>
      </c>
      <c r="AC26" s="141">
        <f t="shared" si="0"/>
        <v>1</v>
      </c>
      <c r="AD26" s="141">
        <f t="shared" si="0"/>
        <v>1</v>
      </c>
      <c r="AE26" s="141">
        <f t="shared" si="0"/>
        <v>1</v>
      </c>
      <c r="AJ26" s="298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508"/>
      <c r="B27" s="112"/>
      <c r="C27" s="112"/>
      <c r="D27" s="30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508"/>
      <c r="B28" s="112"/>
      <c r="C28" s="112"/>
      <c r="D28" s="295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508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508"/>
      <c r="B30" s="113"/>
      <c r="C30" s="490" t="s">
        <v>13</v>
      </c>
      <c r="D30" s="491"/>
      <c r="E30" s="496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508"/>
      <c r="B31" s="300" t="s">
        <v>300</v>
      </c>
      <c r="C31" s="490" t="s">
        <v>301</v>
      </c>
      <c r="D31" s="491"/>
      <c r="E31" s="496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508"/>
      <c r="B32" s="295" t="s">
        <v>20</v>
      </c>
      <c r="C32" s="490" t="s">
        <v>302</v>
      </c>
      <c r="D32" s="491"/>
      <c r="E32" s="496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38">
      <c r="A33" s="508"/>
      <c r="B33" s="295" t="s">
        <v>19</v>
      </c>
      <c r="C33" s="490" t="s">
        <v>303</v>
      </c>
      <c r="D33" s="491"/>
      <c r="E33" s="496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38" ht="17.5" thickBot="1">
      <c r="A34" s="508"/>
      <c r="B34" s="112"/>
      <c r="C34" s="490" t="s">
        <v>304</v>
      </c>
      <c r="D34" s="491"/>
      <c r="E34" s="496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38" ht="18" thickTop="1" thickBot="1">
      <c r="A35" s="508"/>
      <c r="B35" s="112"/>
      <c r="C35" s="490" t="s">
        <v>305</v>
      </c>
      <c r="D35" s="491"/>
      <c r="E35" s="496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503" t="s">
        <v>1</v>
      </c>
      <c r="AD35" s="504"/>
      <c r="AE35" s="504"/>
      <c r="AF35" s="504"/>
      <c r="AG35" s="505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38" ht="18" thickTop="1" thickBot="1">
      <c r="A36" s="511"/>
      <c r="B36" s="119"/>
      <c r="C36" s="501" t="s">
        <v>47</v>
      </c>
      <c r="D36" s="506"/>
      <c r="E36" s="502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507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38" ht="17.5" thickTop="1">
      <c r="A37" s="510" t="s">
        <v>306</v>
      </c>
      <c r="B37" s="512" t="s">
        <v>26</v>
      </c>
      <c r="C37" s="513"/>
      <c r="D37" s="513"/>
      <c r="E37" s="514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508"/>
      <c r="AD37" s="295" t="s">
        <v>19</v>
      </c>
      <c r="AE37" s="295" t="s">
        <v>294</v>
      </c>
      <c r="AF37" s="295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38">
      <c r="A38" s="508"/>
      <c r="B38" s="300" t="s">
        <v>289</v>
      </c>
      <c r="C38" s="490" t="s">
        <v>11</v>
      </c>
      <c r="D38" s="491"/>
      <c r="E38" s="496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508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38">
      <c r="A39" s="508"/>
      <c r="B39" s="295" t="s">
        <v>290</v>
      </c>
      <c r="C39" s="300" t="s">
        <v>291</v>
      </c>
      <c r="D39" s="490" t="s">
        <v>292</v>
      </c>
      <c r="E39" s="496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508"/>
      <c r="AD39" s="112"/>
      <c r="AE39" s="113"/>
      <c r="AF39" s="490" t="s">
        <v>166</v>
      </c>
      <c r="AG39" s="496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38">
      <c r="A40" s="508"/>
      <c r="B40" s="295" t="s">
        <v>19</v>
      </c>
      <c r="C40" s="296" t="s">
        <v>289</v>
      </c>
      <c r="D40" s="490" t="s">
        <v>293</v>
      </c>
      <c r="E40" s="496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508"/>
      <c r="AD40" s="112"/>
      <c r="AE40" s="300" t="s">
        <v>315</v>
      </c>
      <c r="AF40" s="490" t="s">
        <v>9</v>
      </c>
      <c r="AG40" s="496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38">
      <c r="A41" s="508"/>
      <c r="B41" s="112"/>
      <c r="C41" s="300" t="s">
        <v>294</v>
      </c>
      <c r="D41" s="490" t="s">
        <v>292</v>
      </c>
      <c r="E41" s="496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508"/>
      <c r="AD41" s="113"/>
      <c r="AE41" s="296" t="s">
        <v>316</v>
      </c>
      <c r="AF41" s="490" t="s">
        <v>10</v>
      </c>
      <c r="AG41" s="496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38">
      <c r="A42" s="508"/>
      <c r="B42" s="112"/>
      <c r="C42" s="295" t="s">
        <v>289</v>
      </c>
      <c r="D42" s="515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508"/>
      <c r="AD42" s="497" t="s">
        <v>250</v>
      </c>
      <c r="AE42" s="498"/>
      <c r="AF42" s="490" t="s">
        <v>9</v>
      </c>
      <c r="AG42" s="496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38">
      <c r="A43" s="508"/>
      <c r="B43" s="112"/>
      <c r="C43" s="112"/>
      <c r="D43" s="494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09"/>
      <c r="AD43" s="516"/>
      <c r="AE43" s="517"/>
      <c r="AF43" s="490" t="s">
        <v>10</v>
      </c>
      <c r="AG43" s="496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38" ht="29">
      <c r="A44" s="508"/>
      <c r="B44" s="112"/>
      <c r="C44" s="112"/>
      <c r="D44" s="495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18" t="s">
        <v>306</v>
      </c>
      <c r="AD44" s="300" t="s">
        <v>313</v>
      </c>
      <c r="AE44" s="300" t="s">
        <v>291</v>
      </c>
      <c r="AF44" s="30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</row>
    <row r="45" spans="1:38">
      <c r="A45" s="508"/>
      <c r="B45" s="112"/>
      <c r="C45" s="112"/>
      <c r="D45" s="30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508"/>
      <c r="AD45" s="295" t="s">
        <v>19</v>
      </c>
      <c r="AE45" s="295" t="s">
        <v>294</v>
      </c>
      <c r="AF45" s="295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</row>
    <row r="46" spans="1:38" ht="29">
      <c r="A46" s="508"/>
      <c r="B46" s="112"/>
      <c r="C46" s="112"/>
      <c r="D46" s="295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508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</row>
    <row r="47" spans="1:38">
      <c r="A47" s="508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508"/>
      <c r="AD47" s="112"/>
      <c r="AE47" s="113"/>
      <c r="AF47" s="490" t="s">
        <v>166</v>
      </c>
      <c r="AG47" s="496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</row>
    <row r="48" spans="1:38">
      <c r="A48" s="508"/>
      <c r="B48" s="113"/>
      <c r="C48" s="490" t="s">
        <v>13</v>
      </c>
      <c r="D48" s="491"/>
      <c r="E48" s="496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508"/>
      <c r="AD48" s="112"/>
      <c r="AE48" s="300" t="s">
        <v>315</v>
      </c>
      <c r="AF48" s="490" t="s">
        <v>9</v>
      </c>
      <c r="AG48" s="496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</row>
    <row r="49" spans="1:49">
      <c r="A49" s="508"/>
      <c r="B49" s="300" t="s">
        <v>300</v>
      </c>
      <c r="C49" s="490" t="s">
        <v>301</v>
      </c>
      <c r="D49" s="491"/>
      <c r="E49" s="496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508"/>
      <c r="AD49" s="113"/>
      <c r="AE49" s="296" t="s">
        <v>316</v>
      </c>
      <c r="AF49" s="490" t="s">
        <v>10</v>
      </c>
      <c r="AG49" s="496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</row>
    <row r="50" spans="1:49">
      <c r="A50" s="508"/>
      <c r="B50" s="295" t="s">
        <v>20</v>
      </c>
      <c r="C50" s="490" t="s">
        <v>302</v>
      </c>
      <c r="D50" s="491"/>
      <c r="E50" s="496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508"/>
      <c r="AD50" s="497" t="s">
        <v>250</v>
      </c>
      <c r="AE50" s="498"/>
      <c r="AF50" s="490" t="s">
        <v>9</v>
      </c>
      <c r="AG50" s="496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</row>
    <row r="51" spans="1:49" ht="17.5" thickBot="1">
      <c r="A51" s="508"/>
      <c r="B51" s="295" t="s">
        <v>19</v>
      </c>
      <c r="C51" s="490" t="s">
        <v>303</v>
      </c>
      <c r="D51" s="491"/>
      <c r="E51" s="496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511"/>
      <c r="AD51" s="499"/>
      <c r="AE51" s="500"/>
      <c r="AF51" s="501" t="s">
        <v>10</v>
      </c>
      <c r="AG51" s="502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</row>
    <row r="52" spans="1:49" ht="17.5" thickTop="1">
      <c r="A52" s="508"/>
      <c r="B52" s="112"/>
      <c r="C52" s="490" t="s">
        <v>304</v>
      </c>
      <c r="D52" s="491"/>
      <c r="E52" s="496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</row>
    <row r="53" spans="1:49">
      <c r="A53" s="508"/>
      <c r="B53" s="112"/>
      <c r="C53" s="490" t="s">
        <v>305</v>
      </c>
      <c r="D53" s="491"/>
      <c r="E53" s="496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</row>
    <row r="54" spans="1:49" ht="17.5" thickBot="1">
      <c r="A54" s="511"/>
      <c r="B54" s="119"/>
      <c r="C54" s="501" t="s">
        <v>47</v>
      </c>
      <c r="D54" s="506"/>
      <c r="E54" s="502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</row>
    <row r="55" spans="1:49" ht="17.5" thickTop="1">
      <c r="AU55" t="s">
        <v>147</v>
      </c>
      <c r="AV55" t="s">
        <v>148</v>
      </c>
      <c r="AW55" s="32" t="s">
        <v>74</v>
      </c>
    </row>
    <row r="56" spans="1:49" ht="23">
      <c r="A56" s="154" t="s">
        <v>333</v>
      </c>
      <c r="AU56" t="s">
        <v>656</v>
      </c>
      <c r="AV56" t="s">
        <v>642</v>
      </c>
      <c r="AW56" s="75">
        <v>8014.2473</v>
      </c>
    </row>
    <row r="57" spans="1:49">
      <c r="A57" s="32" t="s">
        <v>664</v>
      </c>
      <c r="AU57" t="s">
        <v>135</v>
      </c>
      <c r="AV57" t="s">
        <v>217</v>
      </c>
      <c r="AW57" s="75">
        <v>5231.5074000000004</v>
      </c>
    </row>
    <row r="58" spans="1:49" ht="18" customHeight="1" thickBot="1">
      <c r="L58" t="s">
        <v>665</v>
      </c>
      <c r="Q58" t="s">
        <v>666</v>
      </c>
      <c r="AU58" t="s">
        <v>656</v>
      </c>
      <c r="AV58" t="s">
        <v>359</v>
      </c>
      <c r="AW58" s="75">
        <v>5055.2204000000002</v>
      </c>
    </row>
    <row r="59" spans="1:49" ht="17.5" thickTop="1">
      <c r="A59" s="484" t="s">
        <v>175</v>
      </c>
      <c r="B59" s="485"/>
      <c r="C59" s="485"/>
      <c r="D59" s="485"/>
      <c r="E59" s="486"/>
      <c r="F59" s="479" t="s">
        <v>165</v>
      </c>
      <c r="G59" s="480"/>
      <c r="H59" s="481"/>
      <c r="I59" s="105" t="s">
        <v>284</v>
      </c>
      <c r="J59" s="105" t="s">
        <v>286</v>
      </c>
      <c r="K59" s="105" t="s">
        <v>287</v>
      </c>
      <c r="L59" s="482" t="s">
        <v>21</v>
      </c>
      <c r="Q59" s="484" t="s">
        <v>175</v>
      </c>
      <c r="R59" s="485"/>
      <c r="S59" s="485"/>
      <c r="T59" s="485"/>
      <c r="U59" s="486"/>
      <c r="V59" s="479" t="s">
        <v>165</v>
      </c>
      <c r="W59" s="480"/>
      <c r="X59" s="481"/>
      <c r="Y59" s="105" t="s">
        <v>284</v>
      </c>
      <c r="Z59" s="105" t="s">
        <v>286</v>
      </c>
      <c r="AA59" s="105" t="s">
        <v>287</v>
      </c>
      <c r="AB59" s="482" t="s">
        <v>21</v>
      </c>
      <c r="AU59" t="s">
        <v>643</v>
      </c>
      <c r="AV59" t="s">
        <v>360</v>
      </c>
      <c r="AW59" s="75">
        <v>6559.1377000000002</v>
      </c>
    </row>
    <row r="60" spans="1:49" ht="17.5" thickBot="1">
      <c r="A60" s="487"/>
      <c r="B60" s="488"/>
      <c r="C60" s="488"/>
      <c r="D60" s="488"/>
      <c r="E60" s="489"/>
      <c r="F60" s="107" t="s">
        <v>44</v>
      </c>
      <c r="G60" s="107" t="s">
        <v>45</v>
      </c>
      <c r="H60" s="107" t="s">
        <v>46</v>
      </c>
      <c r="I60" s="106" t="s">
        <v>285</v>
      </c>
      <c r="J60" s="106" t="s">
        <v>285</v>
      </c>
      <c r="K60" s="106" t="s">
        <v>285</v>
      </c>
      <c r="L60" s="483"/>
      <c r="Q60" s="487"/>
      <c r="R60" s="488"/>
      <c r="S60" s="488"/>
      <c r="T60" s="488"/>
      <c r="U60" s="489"/>
      <c r="V60" s="107" t="s">
        <v>44</v>
      </c>
      <c r="W60" s="107" t="s">
        <v>45</v>
      </c>
      <c r="X60" s="107" t="s">
        <v>46</v>
      </c>
      <c r="Y60" s="106" t="s">
        <v>285</v>
      </c>
      <c r="Z60" s="106" t="s">
        <v>285</v>
      </c>
      <c r="AA60" s="106" t="s">
        <v>285</v>
      </c>
      <c r="AB60" s="483"/>
      <c r="AU60" t="s">
        <v>135</v>
      </c>
      <c r="AV60" t="s">
        <v>361</v>
      </c>
      <c r="AW60" s="75">
        <v>8261.5616000000009</v>
      </c>
    </row>
    <row r="61" spans="1:49" ht="37" thickTop="1">
      <c r="A61" s="145">
        <v>2023</v>
      </c>
      <c r="B61" s="300" t="s">
        <v>289</v>
      </c>
      <c r="C61" s="300"/>
      <c r="D61" s="490" t="s">
        <v>135</v>
      </c>
      <c r="E61" s="491"/>
      <c r="F61" s="97">
        <f t="shared" ref="F61:K61" si="2">F21</f>
        <v>437</v>
      </c>
      <c r="G61" s="97">
        <f t="shared" si="2"/>
        <v>130</v>
      </c>
      <c r="H61" s="97">
        <f t="shared" si="2"/>
        <v>499</v>
      </c>
      <c r="I61" s="97">
        <f t="shared" si="2"/>
        <v>448</v>
      </c>
      <c r="J61" s="97">
        <f t="shared" si="2"/>
        <v>0</v>
      </c>
      <c r="K61" s="97">
        <f t="shared" si="2"/>
        <v>0</v>
      </c>
      <c r="L61" s="97">
        <f>L21</f>
        <v>1515</v>
      </c>
      <c r="Q61" s="328">
        <v>2023</v>
      </c>
      <c r="R61" s="312" t="s">
        <v>289</v>
      </c>
      <c r="T61" t="s">
        <v>135</v>
      </c>
      <c r="U61" t="s">
        <v>135</v>
      </c>
      <c r="V61" s="97">
        <f>F61/2</f>
        <v>218.5</v>
      </c>
      <c r="W61" s="97">
        <f t="shared" ref="W61:W72" si="3">G61/2</f>
        <v>65</v>
      </c>
      <c r="X61" s="97">
        <f t="shared" ref="X61:X72" si="4">H61/2</f>
        <v>249.5</v>
      </c>
      <c r="Y61" s="97"/>
      <c r="Z61" s="97">
        <f t="shared" ref="Z61:Z72" si="5">J61/2</f>
        <v>0</v>
      </c>
      <c r="AA61" s="97"/>
      <c r="AB61" s="97">
        <f>SUM(V61:X61,Z61)</f>
        <v>533</v>
      </c>
      <c r="AU61" t="s">
        <v>135</v>
      </c>
      <c r="AV61" t="s">
        <v>362</v>
      </c>
      <c r="AW61" s="75">
        <v>22890.217400000001</v>
      </c>
    </row>
    <row r="62" spans="1:49">
      <c r="A62" s="145"/>
      <c r="B62" s="295" t="s">
        <v>290</v>
      </c>
      <c r="C62" s="112"/>
      <c r="D62" s="494" t="s">
        <v>322</v>
      </c>
      <c r="E62" s="41" t="s">
        <v>296</v>
      </c>
      <c r="F62" s="97">
        <f t="shared" ref="F62:K62" si="6">F25</f>
        <v>9511</v>
      </c>
      <c r="G62" s="97">
        <f t="shared" si="6"/>
        <v>2841</v>
      </c>
      <c r="H62" s="97">
        <f t="shared" si="6"/>
        <v>10863</v>
      </c>
      <c r="I62" s="97">
        <f t="shared" si="6"/>
        <v>12097</v>
      </c>
      <c r="J62" s="97">
        <f t="shared" si="6"/>
        <v>0</v>
      </c>
      <c r="K62" s="97">
        <f t="shared" si="6"/>
        <v>0</v>
      </c>
      <c r="L62" s="97">
        <f>L25</f>
        <v>35312</v>
      </c>
      <c r="Q62" s="145"/>
      <c r="R62" s="311" t="s">
        <v>290</v>
      </c>
      <c r="T62" t="s">
        <v>322</v>
      </c>
      <c r="U62" t="s">
        <v>667</v>
      </c>
      <c r="V62" s="97">
        <f t="shared" ref="V62:V72" si="7">F62/2</f>
        <v>4755.5</v>
      </c>
      <c r="W62" s="97">
        <f t="shared" si="3"/>
        <v>1420.5</v>
      </c>
      <c r="X62" s="97">
        <f t="shared" si="4"/>
        <v>5431.5</v>
      </c>
      <c r="Y62" s="97"/>
      <c r="Z62" s="97">
        <f t="shared" si="5"/>
        <v>0</v>
      </c>
      <c r="AA62" s="97"/>
      <c r="AB62" s="97">
        <f t="shared" ref="AB62:AB73" si="8">SUM(V62:X62,Z62)</f>
        <v>11607.5</v>
      </c>
      <c r="AU62" t="s">
        <v>643</v>
      </c>
      <c r="AV62" t="s">
        <v>363</v>
      </c>
      <c r="AW62" s="75">
        <v>10963.124400000001</v>
      </c>
    </row>
    <row r="63" spans="1:49" ht="29">
      <c r="A63" s="145"/>
      <c r="B63" s="295" t="s">
        <v>19</v>
      </c>
      <c r="C63" s="112"/>
      <c r="D63" s="495"/>
      <c r="E63" s="41" t="s">
        <v>297</v>
      </c>
      <c r="F63" s="97">
        <f t="shared" ref="F63:K63" si="9">F26</f>
        <v>7149</v>
      </c>
      <c r="G63" s="97">
        <f t="shared" si="9"/>
        <v>2136</v>
      </c>
      <c r="H63" s="97">
        <f t="shared" si="9"/>
        <v>8165</v>
      </c>
      <c r="I63" s="97">
        <f t="shared" si="9"/>
        <v>7340</v>
      </c>
      <c r="J63" s="97">
        <f t="shared" si="9"/>
        <v>0</v>
      </c>
      <c r="K63" s="97">
        <f t="shared" si="9"/>
        <v>0</v>
      </c>
      <c r="L63" s="97">
        <f>L26</f>
        <v>24790</v>
      </c>
      <c r="Q63" s="145"/>
      <c r="R63" s="311" t="s">
        <v>19</v>
      </c>
      <c r="U63" t="s">
        <v>669</v>
      </c>
      <c r="V63" s="97">
        <f t="shared" si="7"/>
        <v>3574.5</v>
      </c>
      <c r="W63" s="97">
        <f t="shared" si="3"/>
        <v>1068</v>
      </c>
      <c r="X63" s="97">
        <f t="shared" si="4"/>
        <v>4082.5</v>
      </c>
      <c r="Y63" s="97"/>
      <c r="Z63" s="97">
        <f t="shared" si="5"/>
        <v>0</v>
      </c>
      <c r="AA63" s="97"/>
      <c r="AB63" s="97">
        <f t="shared" si="8"/>
        <v>8725</v>
      </c>
      <c r="AU63" t="s">
        <v>644</v>
      </c>
      <c r="AV63" t="s">
        <v>75</v>
      </c>
      <c r="AW63" s="75">
        <v>26312.316800000001</v>
      </c>
    </row>
    <row r="64" spans="1:49" ht="16.5" customHeight="1">
      <c r="A64" s="145"/>
      <c r="B64" s="112"/>
      <c r="C64" s="112"/>
      <c r="D64" s="295" t="s">
        <v>197</v>
      </c>
      <c r="E64" s="41" t="s">
        <v>297</v>
      </c>
      <c r="F64" s="97">
        <f t="shared" ref="F64:K64" si="10">F28</f>
        <v>1150</v>
      </c>
      <c r="G64" s="97">
        <f t="shared" si="10"/>
        <v>343</v>
      </c>
      <c r="H64" s="97">
        <f t="shared" si="10"/>
        <v>1313</v>
      </c>
      <c r="I64" s="97">
        <f t="shared" si="10"/>
        <v>1181</v>
      </c>
      <c r="J64" s="97">
        <f t="shared" si="10"/>
        <v>0</v>
      </c>
      <c r="K64" s="97">
        <f t="shared" si="10"/>
        <v>0</v>
      </c>
      <c r="L64" s="97">
        <f t="shared" ref="L64:L72" si="11">L28</f>
        <v>3987</v>
      </c>
      <c r="Q64" s="145"/>
      <c r="R64" s="112"/>
      <c r="T64" t="s">
        <v>197</v>
      </c>
      <c r="U64" t="s">
        <v>671</v>
      </c>
      <c r="V64" s="97">
        <f t="shared" si="7"/>
        <v>575</v>
      </c>
      <c r="W64" s="97">
        <f t="shared" si="3"/>
        <v>171.5</v>
      </c>
      <c r="X64" s="97">
        <f t="shared" si="4"/>
        <v>656.5</v>
      </c>
      <c r="Y64" s="97"/>
      <c r="Z64" s="97">
        <f t="shared" si="5"/>
        <v>0</v>
      </c>
      <c r="AA64" s="97"/>
      <c r="AB64" s="97">
        <f t="shared" si="8"/>
        <v>1403</v>
      </c>
      <c r="AU64" t="s">
        <v>370</v>
      </c>
      <c r="AV64" t="s">
        <v>76</v>
      </c>
      <c r="AW64" s="75">
        <v>25868.347099999999</v>
      </c>
    </row>
    <row r="65" spans="1:49">
      <c r="A65" s="145"/>
      <c r="B65" s="112"/>
      <c r="C65" s="113"/>
      <c r="D65" s="113"/>
      <c r="E65" s="41" t="s">
        <v>299</v>
      </c>
      <c r="F65" s="97">
        <f t="shared" ref="F65:K65" si="12">F29</f>
        <v>2012</v>
      </c>
      <c r="G65" s="97">
        <f t="shared" si="12"/>
        <v>601</v>
      </c>
      <c r="H65" s="97">
        <f t="shared" si="12"/>
        <v>2298</v>
      </c>
      <c r="I65" s="97">
        <f t="shared" si="12"/>
        <v>2066</v>
      </c>
      <c r="J65" s="97">
        <f t="shared" si="12"/>
        <v>0</v>
      </c>
      <c r="K65" s="97">
        <f t="shared" si="12"/>
        <v>0</v>
      </c>
      <c r="L65" s="97">
        <f t="shared" si="11"/>
        <v>6977</v>
      </c>
      <c r="Q65" s="145"/>
      <c r="R65" s="112"/>
      <c r="U65" t="s">
        <v>674</v>
      </c>
      <c r="V65" s="97">
        <f t="shared" si="7"/>
        <v>1006</v>
      </c>
      <c r="W65" s="97">
        <f t="shared" si="3"/>
        <v>300.5</v>
      </c>
      <c r="X65" s="97">
        <f t="shared" si="4"/>
        <v>1149</v>
      </c>
      <c r="Y65" s="97"/>
      <c r="Z65" s="97">
        <f t="shared" si="5"/>
        <v>0</v>
      </c>
      <c r="AA65" s="97"/>
      <c r="AB65" s="97">
        <f t="shared" si="8"/>
        <v>2455.5</v>
      </c>
      <c r="AU65" t="s">
        <v>657</v>
      </c>
      <c r="AV65" t="s">
        <v>220</v>
      </c>
      <c r="AW65" s="75">
        <v>51875.97</v>
      </c>
    </row>
    <row r="66" spans="1:49" ht="17" customHeight="1">
      <c r="A66" s="145"/>
      <c r="B66" s="113"/>
      <c r="C66" s="490" t="s">
        <v>13</v>
      </c>
      <c r="D66" s="491"/>
      <c r="E66" s="491"/>
      <c r="F66" s="97">
        <f t="shared" ref="F66:K66" si="13">F30</f>
        <v>0</v>
      </c>
      <c r="G66" s="97">
        <f t="shared" si="13"/>
        <v>0</v>
      </c>
      <c r="H66" s="97">
        <f t="shared" si="13"/>
        <v>0</v>
      </c>
      <c r="I66" s="97">
        <f t="shared" si="13"/>
        <v>0</v>
      </c>
      <c r="J66" s="97">
        <f t="shared" si="13"/>
        <v>1639</v>
      </c>
      <c r="K66" s="97">
        <f t="shared" si="13"/>
        <v>17657</v>
      </c>
      <c r="L66" s="97">
        <f t="shared" si="11"/>
        <v>19297</v>
      </c>
      <c r="Q66" s="145"/>
      <c r="R66" s="113"/>
      <c r="S66" t="s">
        <v>13</v>
      </c>
      <c r="U66" t="s">
        <v>13</v>
      </c>
      <c r="V66" s="97">
        <f t="shared" si="7"/>
        <v>0</v>
      </c>
      <c r="W66" s="97">
        <f t="shared" si="3"/>
        <v>0</v>
      </c>
      <c r="X66" s="97">
        <f t="shared" si="4"/>
        <v>0</v>
      </c>
      <c r="Y66" s="97"/>
      <c r="Z66" s="97">
        <f t="shared" si="5"/>
        <v>819.5</v>
      </c>
      <c r="AA66" s="97"/>
      <c r="AB66" s="97">
        <f t="shared" si="8"/>
        <v>819.5</v>
      </c>
      <c r="AU66" t="s">
        <v>644</v>
      </c>
      <c r="AV66" t="s">
        <v>221</v>
      </c>
      <c r="AW66" s="75">
        <v>22244.514299999999</v>
      </c>
    </row>
    <row r="67" spans="1:49" ht="17" customHeight="1">
      <c r="A67" s="145"/>
      <c r="B67" s="300" t="s">
        <v>300</v>
      </c>
      <c r="C67" s="490" t="s">
        <v>301</v>
      </c>
      <c r="D67" s="491"/>
      <c r="E67" s="491"/>
      <c r="F67" s="97">
        <f t="shared" ref="F67:K67" si="14">F31</f>
        <v>0</v>
      </c>
      <c r="G67" s="97">
        <f t="shared" si="14"/>
        <v>0</v>
      </c>
      <c r="H67" s="97">
        <f t="shared" si="14"/>
        <v>0</v>
      </c>
      <c r="I67" s="97">
        <f t="shared" si="14"/>
        <v>0</v>
      </c>
      <c r="J67" s="97">
        <f t="shared" si="14"/>
        <v>28783</v>
      </c>
      <c r="K67" s="97">
        <f t="shared" si="14"/>
        <v>110819</v>
      </c>
      <c r="L67" s="97">
        <f t="shared" si="11"/>
        <v>139602</v>
      </c>
      <c r="Q67" s="145"/>
      <c r="R67" s="312" t="s">
        <v>300</v>
      </c>
      <c r="S67" t="s">
        <v>301</v>
      </c>
      <c r="U67" t="s">
        <v>301</v>
      </c>
      <c r="V67" s="97">
        <f t="shared" si="7"/>
        <v>0</v>
      </c>
      <c r="W67" s="97">
        <f t="shared" si="3"/>
        <v>0</v>
      </c>
      <c r="X67" s="97">
        <f t="shared" si="4"/>
        <v>0</v>
      </c>
      <c r="Y67" s="97"/>
      <c r="Z67" s="97">
        <f t="shared" si="5"/>
        <v>14391.5</v>
      </c>
      <c r="AA67" s="97"/>
      <c r="AB67" s="97">
        <f t="shared" si="8"/>
        <v>14391.5</v>
      </c>
      <c r="AU67" t="s">
        <v>370</v>
      </c>
      <c r="AV67" t="s">
        <v>372</v>
      </c>
      <c r="AW67" s="75">
        <v>20007.53</v>
      </c>
    </row>
    <row r="68" spans="1:49" ht="16.5" customHeight="1">
      <c r="A68" s="145"/>
      <c r="B68" s="295" t="s">
        <v>20</v>
      </c>
      <c r="C68" s="490" t="s">
        <v>302</v>
      </c>
      <c r="D68" s="491"/>
      <c r="E68" s="491"/>
      <c r="F68" s="97">
        <f t="shared" ref="F68:K68" si="15">F32</f>
        <v>0</v>
      </c>
      <c r="G68" s="97">
        <f t="shared" si="15"/>
        <v>0</v>
      </c>
      <c r="H68" s="97">
        <f t="shared" si="15"/>
        <v>0</v>
      </c>
      <c r="I68" s="97">
        <f t="shared" si="15"/>
        <v>0</v>
      </c>
      <c r="J68" s="97">
        <f t="shared" si="15"/>
        <v>343</v>
      </c>
      <c r="K68" s="97">
        <f t="shared" si="15"/>
        <v>363</v>
      </c>
      <c r="L68" s="97">
        <f t="shared" si="11"/>
        <v>706</v>
      </c>
      <c r="Q68" s="145"/>
      <c r="R68" s="311" t="s">
        <v>20</v>
      </c>
      <c r="S68" t="s">
        <v>302</v>
      </c>
      <c r="U68" t="s">
        <v>302</v>
      </c>
      <c r="V68" s="97">
        <f t="shared" si="7"/>
        <v>0</v>
      </c>
      <c r="W68" s="97">
        <f t="shared" si="3"/>
        <v>0</v>
      </c>
      <c r="X68" s="97">
        <f t="shared" si="4"/>
        <v>0</v>
      </c>
      <c r="Y68" s="97"/>
      <c r="Z68" s="97">
        <f t="shared" si="5"/>
        <v>171.5</v>
      </c>
      <c r="AA68" s="97"/>
      <c r="AB68" s="97">
        <f t="shared" si="8"/>
        <v>171.5</v>
      </c>
      <c r="AU68" s="163" t="s">
        <v>668</v>
      </c>
      <c r="AV68" t="s">
        <v>373</v>
      </c>
      <c r="AW68" s="75">
        <v>78804.9424</v>
      </c>
    </row>
    <row r="69" spans="1:49" ht="17.25" customHeight="1">
      <c r="A69" s="145"/>
      <c r="B69" s="295" t="s">
        <v>19</v>
      </c>
      <c r="C69" s="490" t="s">
        <v>303</v>
      </c>
      <c r="D69" s="491"/>
      <c r="E69" s="491"/>
      <c r="F69" s="97">
        <f t="shared" ref="F69:K69" si="16">F33</f>
        <v>0</v>
      </c>
      <c r="G69" s="97">
        <f t="shared" si="16"/>
        <v>0</v>
      </c>
      <c r="H69" s="97">
        <f t="shared" si="16"/>
        <v>0</v>
      </c>
      <c r="I69" s="97">
        <f t="shared" si="16"/>
        <v>0</v>
      </c>
      <c r="J69" s="97">
        <f t="shared" si="16"/>
        <v>607</v>
      </c>
      <c r="K69" s="97">
        <f t="shared" si="16"/>
        <v>7659</v>
      </c>
      <c r="L69" s="97">
        <f t="shared" si="11"/>
        <v>8266</v>
      </c>
      <c r="Q69" s="145"/>
      <c r="R69" s="311" t="s">
        <v>19</v>
      </c>
      <c r="S69" t="s">
        <v>303</v>
      </c>
      <c r="U69" t="s">
        <v>303</v>
      </c>
      <c r="V69" s="97">
        <f t="shared" si="7"/>
        <v>0</v>
      </c>
      <c r="W69" s="97">
        <f t="shared" si="3"/>
        <v>0</v>
      </c>
      <c r="X69" s="97">
        <f t="shared" si="4"/>
        <v>0</v>
      </c>
      <c r="Y69" s="97"/>
      <c r="Z69" s="97">
        <f t="shared" si="5"/>
        <v>303.5</v>
      </c>
      <c r="AA69" s="97"/>
      <c r="AB69" s="97">
        <f t="shared" si="8"/>
        <v>303.5</v>
      </c>
      <c r="AU69" t="s">
        <v>375</v>
      </c>
      <c r="AV69" t="s">
        <v>78</v>
      </c>
      <c r="AW69" s="75">
        <v>70189.171300000002</v>
      </c>
    </row>
    <row r="70" spans="1:49">
      <c r="A70" s="145"/>
      <c r="B70" s="112"/>
      <c r="C70" s="490" t="s">
        <v>304</v>
      </c>
      <c r="D70" s="491"/>
      <c r="E70" s="491"/>
      <c r="F70" s="97">
        <f t="shared" ref="F70:K70" si="17">F34</f>
        <v>0</v>
      </c>
      <c r="G70" s="97">
        <f t="shared" si="17"/>
        <v>0</v>
      </c>
      <c r="H70" s="97">
        <f t="shared" si="17"/>
        <v>0</v>
      </c>
      <c r="I70" s="97">
        <f t="shared" si="17"/>
        <v>0</v>
      </c>
      <c r="J70" s="97">
        <f t="shared" si="17"/>
        <v>56</v>
      </c>
      <c r="K70" s="97">
        <f t="shared" si="17"/>
        <v>0</v>
      </c>
      <c r="L70" s="97">
        <f t="shared" si="11"/>
        <v>56</v>
      </c>
      <c r="Q70" s="145"/>
      <c r="R70" s="112"/>
      <c r="S70" t="s">
        <v>304</v>
      </c>
      <c r="U70" t="s">
        <v>304</v>
      </c>
      <c r="V70" s="97">
        <f t="shared" si="7"/>
        <v>0</v>
      </c>
      <c r="W70" s="97">
        <f t="shared" si="3"/>
        <v>0</v>
      </c>
      <c r="X70" s="97">
        <f t="shared" si="4"/>
        <v>0</v>
      </c>
      <c r="Y70" s="97"/>
      <c r="Z70" s="97">
        <f t="shared" si="5"/>
        <v>28</v>
      </c>
      <c r="AA70" s="97"/>
      <c r="AB70" s="97">
        <f t="shared" si="8"/>
        <v>28</v>
      </c>
      <c r="AU70" t="s">
        <v>653</v>
      </c>
      <c r="AV70" t="s">
        <v>79</v>
      </c>
      <c r="AW70" s="75">
        <v>51949.691800000001</v>
      </c>
    </row>
    <row r="71" spans="1:49" ht="17" customHeight="1">
      <c r="A71" s="145"/>
      <c r="B71" s="112"/>
      <c r="C71" s="490" t="s">
        <v>305</v>
      </c>
      <c r="D71" s="491"/>
      <c r="E71" s="491"/>
      <c r="F71" s="97">
        <f t="shared" ref="F71:K71" si="18">F35</f>
        <v>0</v>
      </c>
      <c r="G71" s="97">
        <f t="shared" si="18"/>
        <v>0</v>
      </c>
      <c r="H71" s="97">
        <f t="shared" si="18"/>
        <v>0</v>
      </c>
      <c r="I71" s="97">
        <f t="shared" si="18"/>
        <v>0</v>
      </c>
      <c r="J71" s="97">
        <f t="shared" si="18"/>
        <v>173</v>
      </c>
      <c r="K71" s="97">
        <f t="shared" si="18"/>
        <v>2238</v>
      </c>
      <c r="L71" s="97">
        <f t="shared" si="11"/>
        <v>2411</v>
      </c>
      <c r="Q71" s="145"/>
      <c r="R71" s="112"/>
      <c r="S71" t="s">
        <v>305</v>
      </c>
      <c r="U71" t="s">
        <v>675</v>
      </c>
      <c r="V71" s="97">
        <f t="shared" si="7"/>
        <v>0</v>
      </c>
      <c r="W71" s="97">
        <f t="shared" si="3"/>
        <v>0</v>
      </c>
      <c r="X71" s="97">
        <f t="shared" si="4"/>
        <v>0</v>
      </c>
      <c r="Y71" s="97"/>
      <c r="Z71" s="97">
        <f t="shared" si="5"/>
        <v>86.5</v>
      </c>
      <c r="AA71" s="97"/>
      <c r="AB71" s="97">
        <f t="shared" si="8"/>
        <v>86.5</v>
      </c>
      <c r="AU71" t="s">
        <v>658</v>
      </c>
      <c r="AV71" t="s">
        <v>223</v>
      </c>
      <c r="AW71" s="75">
        <v>40441.3442</v>
      </c>
    </row>
    <row r="72" spans="1:49" ht="17.5" customHeight="1" thickBot="1">
      <c r="A72" s="146"/>
      <c r="B72" s="147"/>
      <c r="C72" s="492" t="s">
        <v>47</v>
      </c>
      <c r="D72" s="493"/>
      <c r="E72" s="493"/>
      <c r="F72" s="97">
        <f t="shared" ref="F72:K72" si="19">F36</f>
        <v>0</v>
      </c>
      <c r="G72" s="97">
        <f t="shared" si="19"/>
        <v>0</v>
      </c>
      <c r="H72" s="97">
        <f t="shared" si="19"/>
        <v>0</v>
      </c>
      <c r="I72" s="97">
        <f t="shared" si="19"/>
        <v>0</v>
      </c>
      <c r="J72" s="97">
        <f t="shared" si="19"/>
        <v>14989</v>
      </c>
      <c r="K72" s="97">
        <f t="shared" si="19"/>
        <v>46691</v>
      </c>
      <c r="L72" s="97">
        <f t="shared" si="11"/>
        <v>61681</v>
      </c>
      <c r="Q72" s="146"/>
      <c r="R72" s="147"/>
      <c r="S72" t="s">
        <v>47</v>
      </c>
      <c r="U72" t="s">
        <v>47</v>
      </c>
      <c r="V72" s="97">
        <f t="shared" si="7"/>
        <v>0</v>
      </c>
      <c r="W72" s="97">
        <f t="shared" si="3"/>
        <v>0</v>
      </c>
      <c r="X72" s="97">
        <f t="shared" si="4"/>
        <v>0</v>
      </c>
      <c r="Y72" s="97"/>
      <c r="Z72" s="97">
        <f t="shared" si="5"/>
        <v>7494.5</v>
      </c>
      <c r="AA72" s="97"/>
      <c r="AB72" s="97">
        <f t="shared" si="8"/>
        <v>7494.5</v>
      </c>
      <c r="AU72" s="163" t="s">
        <v>672</v>
      </c>
      <c r="AV72" t="s">
        <v>85</v>
      </c>
      <c r="AW72" s="75">
        <v>53247.161800000002</v>
      </c>
    </row>
    <row r="73" spans="1:49">
      <c r="L73" s="97">
        <f>SUM(L61:L72)</f>
        <v>304600</v>
      </c>
      <c r="U73" t="s">
        <v>677</v>
      </c>
      <c r="V73" s="97">
        <f t="shared" ref="V73:X73" si="20">SUM(V61:V72)</f>
        <v>10129.5</v>
      </c>
      <c r="W73" s="97">
        <f t="shared" si="20"/>
        <v>3025.5</v>
      </c>
      <c r="X73" s="97">
        <f t="shared" si="20"/>
        <v>11569</v>
      </c>
      <c r="Z73" s="97">
        <f>SUM(Z61:Z72)</f>
        <v>23295</v>
      </c>
      <c r="AB73" s="97">
        <f t="shared" si="8"/>
        <v>48019</v>
      </c>
      <c r="AU73" t="s">
        <v>654</v>
      </c>
      <c r="AV73" t="s">
        <v>113</v>
      </c>
      <c r="AW73" s="75">
        <v>8507.8255000000008</v>
      </c>
    </row>
    <row r="74" spans="1:49" ht="23">
      <c r="A74" s="154" t="s">
        <v>331</v>
      </c>
      <c r="AU74" t="s">
        <v>645</v>
      </c>
      <c r="AV74" t="s">
        <v>659</v>
      </c>
      <c r="AW74" s="75">
        <v>5790.3404</v>
      </c>
    </row>
    <row r="75" spans="1:49">
      <c r="A75" s="32" t="s">
        <v>308</v>
      </c>
      <c r="AU75" t="s">
        <v>136</v>
      </c>
      <c r="AV75" t="s">
        <v>382</v>
      </c>
      <c r="AW75" s="75">
        <v>1771.3566000000001</v>
      </c>
    </row>
    <row r="76" spans="1:49" ht="17.5" thickBot="1">
      <c r="AU76" t="s">
        <v>654</v>
      </c>
      <c r="AV76" t="s">
        <v>383</v>
      </c>
      <c r="AW76" s="75">
        <v>6231.1390000000001</v>
      </c>
    </row>
    <row r="77" spans="1:49" ht="17.5" thickTop="1">
      <c r="A77" s="484" t="s">
        <v>175</v>
      </c>
      <c r="B77" s="485"/>
      <c r="C77" s="485"/>
      <c r="D77" s="485"/>
      <c r="E77" s="486"/>
      <c r="F77" s="479" t="s">
        <v>165</v>
      </c>
      <c r="G77" s="480"/>
      <c r="H77" s="481"/>
      <c r="I77" s="105" t="s">
        <v>284</v>
      </c>
      <c r="J77" s="105" t="s">
        <v>286</v>
      </c>
      <c r="K77" s="105" t="s">
        <v>287</v>
      </c>
      <c r="L77" s="482" t="s">
        <v>21</v>
      </c>
      <c r="Q77" s="484" t="s">
        <v>175</v>
      </c>
      <c r="R77" s="485"/>
      <c r="S77" s="485"/>
      <c r="T77" s="485"/>
      <c r="U77" s="486"/>
      <c r="V77" s="479" t="s">
        <v>165</v>
      </c>
      <c r="W77" s="480"/>
      <c r="X77" s="481"/>
      <c r="Y77" s="105" t="s">
        <v>284</v>
      </c>
      <c r="Z77" s="105" t="s">
        <v>286</v>
      </c>
      <c r="AA77" s="105" t="s">
        <v>287</v>
      </c>
      <c r="AB77" s="482" t="s">
        <v>21</v>
      </c>
      <c r="AU77" t="s">
        <v>646</v>
      </c>
      <c r="AV77" t="s">
        <v>660</v>
      </c>
      <c r="AW77" s="75">
        <v>11058.6175</v>
      </c>
    </row>
    <row r="78" spans="1:49" ht="17.5" thickBot="1">
      <c r="A78" s="487"/>
      <c r="B78" s="488"/>
      <c r="C78" s="488"/>
      <c r="D78" s="488"/>
      <c r="E78" s="489"/>
      <c r="F78" s="107" t="s">
        <v>44</v>
      </c>
      <c r="G78" s="107" t="s">
        <v>45</v>
      </c>
      <c r="H78" s="107" t="s">
        <v>46</v>
      </c>
      <c r="I78" s="106" t="s">
        <v>285</v>
      </c>
      <c r="J78" s="106" t="s">
        <v>285</v>
      </c>
      <c r="K78" s="106" t="s">
        <v>285</v>
      </c>
      <c r="L78" s="483"/>
      <c r="Q78" s="487"/>
      <c r="R78" s="488"/>
      <c r="S78" s="488"/>
      <c r="T78" s="488"/>
      <c r="U78" s="489"/>
      <c r="V78" s="107" t="s">
        <v>44</v>
      </c>
      <c r="W78" s="107" t="s">
        <v>45</v>
      </c>
      <c r="X78" s="107" t="s">
        <v>46</v>
      </c>
      <c r="Y78" s="106" t="s">
        <v>285</v>
      </c>
      <c r="Z78" s="106" t="s">
        <v>285</v>
      </c>
      <c r="AA78" s="106" t="s">
        <v>285</v>
      </c>
      <c r="AB78" s="483"/>
      <c r="AU78" t="s">
        <v>647</v>
      </c>
      <c r="AV78" t="s">
        <v>103</v>
      </c>
      <c r="AW78" s="75">
        <v>11210.3078</v>
      </c>
    </row>
    <row r="79" spans="1:49" ht="17.5" thickTop="1">
      <c r="A79" s="145">
        <v>2027</v>
      </c>
      <c r="B79" s="300" t="s">
        <v>289</v>
      </c>
      <c r="C79" s="300"/>
      <c r="D79" s="490" t="s">
        <v>135</v>
      </c>
      <c r="E79" s="491"/>
      <c r="F79" s="97">
        <f t="shared" ref="F79:K79" si="21">F40</f>
        <v>437</v>
      </c>
      <c r="G79" s="97">
        <f t="shared" si="21"/>
        <v>130</v>
      </c>
      <c r="H79" s="97">
        <f t="shared" si="21"/>
        <v>499</v>
      </c>
      <c r="I79" s="97">
        <f t="shared" si="21"/>
        <v>440</v>
      </c>
      <c r="J79" s="97">
        <f t="shared" si="21"/>
        <v>0</v>
      </c>
      <c r="K79" s="97">
        <f t="shared" si="21"/>
        <v>0</v>
      </c>
      <c r="L79" s="97">
        <f>L40</f>
        <v>1506</v>
      </c>
      <c r="Q79" s="145">
        <v>2027</v>
      </c>
      <c r="R79" s="312" t="s">
        <v>289</v>
      </c>
      <c r="S79" s="312"/>
      <c r="T79" s="316" t="s">
        <v>135</v>
      </c>
      <c r="U79" s="317" t="s">
        <v>12</v>
      </c>
      <c r="V79" s="97">
        <f>F79/2</f>
        <v>218.5</v>
      </c>
      <c r="W79" s="97">
        <f t="shared" ref="W79:W90" si="22">G79/2</f>
        <v>65</v>
      </c>
      <c r="X79" s="97">
        <f t="shared" ref="X79:X90" si="23">H79/2</f>
        <v>249.5</v>
      </c>
      <c r="Y79" s="97">
        <f t="shared" ref="Y79:Y90" si="24">I79/2</f>
        <v>220</v>
      </c>
      <c r="Z79" s="97">
        <f t="shared" ref="Z79:Z90" si="25">J79/2</f>
        <v>0</v>
      </c>
      <c r="AA79" s="97">
        <f t="shared" ref="AA79:AA90" si="26">K79/2</f>
        <v>0</v>
      </c>
      <c r="AB79" s="97">
        <f>SUM(V79:X79)+Z79</f>
        <v>533</v>
      </c>
      <c r="AU79" t="s">
        <v>647</v>
      </c>
      <c r="AV79" t="s">
        <v>104</v>
      </c>
      <c r="AW79" s="75">
        <v>10719.050499999999</v>
      </c>
    </row>
    <row r="80" spans="1:49" ht="32">
      <c r="A80" s="145"/>
      <c r="B80" s="295" t="s">
        <v>290</v>
      </c>
      <c r="C80" s="112"/>
      <c r="D80" s="494" t="s">
        <v>322</v>
      </c>
      <c r="E80" s="41" t="s">
        <v>296</v>
      </c>
      <c r="F80" s="97">
        <f t="shared" ref="F80:K80" si="27">F43</f>
        <v>9511</v>
      </c>
      <c r="G80" s="97">
        <f t="shared" si="27"/>
        <v>2841</v>
      </c>
      <c r="H80" s="97">
        <f t="shared" si="27"/>
        <v>10863</v>
      </c>
      <c r="I80" s="97">
        <f t="shared" si="27"/>
        <v>11872</v>
      </c>
      <c r="J80" s="97">
        <f t="shared" si="27"/>
        <v>0</v>
      </c>
      <c r="K80" s="97">
        <f t="shared" si="27"/>
        <v>0</v>
      </c>
      <c r="L80" s="97">
        <f>L43</f>
        <v>35088</v>
      </c>
      <c r="Q80" s="145"/>
      <c r="R80" s="311" t="s">
        <v>290</v>
      </c>
      <c r="S80" s="112"/>
      <c r="T80" s="318" t="s">
        <v>322</v>
      </c>
      <c r="U80" s="41" t="s">
        <v>667</v>
      </c>
      <c r="V80" s="97">
        <f t="shared" ref="V80:V90" si="28">F80/2</f>
        <v>4755.5</v>
      </c>
      <c r="W80" s="97">
        <f t="shared" si="22"/>
        <v>1420.5</v>
      </c>
      <c r="X80" s="97">
        <f t="shared" si="23"/>
        <v>5431.5</v>
      </c>
      <c r="Y80" s="97">
        <f t="shared" si="24"/>
        <v>5936</v>
      </c>
      <c r="Z80" s="97">
        <f t="shared" si="25"/>
        <v>0</v>
      </c>
      <c r="AA80" s="97">
        <f t="shared" si="26"/>
        <v>0</v>
      </c>
      <c r="AB80" s="97">
        <f t="shared" ref="AB80:AB91" si="29">SUM(V80:X80)+Z80</f>
        <v>11607.5</v>
      </c>
      <c r="AU80" t="s">
        <v>647</v>
      </c>
      <c r="AV80" t="s">
        <v>117</v>
      </c>
      <c r="AW80" s="75">
        <v>25550.6122</v>
      </c>
    </row>
    <row r="81" spans="1:158" ht="32">
      <c r="A81" s="145"/>
      <c r="B81" s="295" t="s">
        <v>19</v>
      </c>
      <c r="C81" s="112"/>
      <c r="D81" s="495"/>
      <c r="E81" s="41" t="s">
        <v>297</v>
      </c>
      <c r="F81" s="97">
        <f t="shared" ref="F81:K81" si="30">F44</f>
        <v>7149</v>
      </c>
      <c r="G81" s="97">
        <f t="shared" si="30"/>
        <v>2136</v>
      </c>
      <c r="H81" s="97">
        <f t="shared" si="30"/>
        <v>8165</v>
      </c>
      <c r="I81" s="97">
        <f t="shared" si="30"/>
        <v>7204</v>
      </c>
      <c r="J81" s="97">
        <f t="shared" si="30"/>
        <v>0</v>
      </c>
      <c r="K81" s="97">
        <f t="shared" si="30"/>
        <v>0</v>
      </c>
      <c r="L81" s="97">
        <f>L44</f>
        <v>24653</v>
      </c>
      <c r="Q81" s="145"/>
      <c r="R81" s="311" t="s">
        <v>19</v>
      </c>
      <c r="S81" s="112"/>
      <c r="T81" s="319"/>
      <c r="U81" s="41" t="s">
        <v>669</v>
      </c>
      <c r="V81" s="97">
        <f t="shared" si="28"/>
        <v>3574.5</v>
      </c>
      <c r="W81" s="97">
        <f t="shared" si="22"/>
        <v>1068</v>
      </c>
      <c r="X81" s="97">
        <f t="shared" si="23"/>
        <v>4082.5</v>
      </c>
      <c r="Y81" s="97">
        <f t="shared" si="24"/>
        <v>3602</v>
      </c>
      <c r="Z81" s="97">
        <f t="shared" si="25"/>
        <v>0</v>
      </c>
      <c r="AA81" s="97">
        <f t="shared" si="26"/>
        <v>0</v>
      </c>
      <c r="AB81" s="97">
        <f t="shared" si="29"/>
        <v>8725</v>
      </c>
      <c r="AU81" t="s">
        <v>647</v>
      </c>
      <c r="AV81" t="s">
        <v>118</v>
      </c>
      <c r="AW81" s="75">
        <v>13315.3163</v>
      </c>
    </row>
    <row r="82" spans="1:158" ht="32">
      <c r="A82" s="145"/>
      <c r="B82" s="112"/>
      <c r="C82" s="112"/>
      <c r="D82" s="295" t="s">
        <v>197</v>
      </c>
      <c r="E82" s="41" t="s">
        <v>297</v>
      </c>
      <c r="F82" s="97">
        <f t="shared" ref="F82:K82" si="31">F46</f>
        <v>1150</v>
      </c>
      <c r="G82" s="97">
        <f t="shared" si="31"/>
        <v>343</v>
      </c>
      <c r="H82" s="97">
        <f t="shared" si="31"/>
        <v>1313</v>
      </c>
      <c r="I82" s="97">
        <f t="shared" si="31"/>
        <v>1159</v>
      </c>
      <c r="J82" s="97">
        <f t="shared" si="31"/>
        <v>0</v>
      </c>
      <c r="K82" s="97">
        <f t="shared" si="31"/>
        <v>0</v>
      </c>
      <c r="L82" s="97">
        <f t="shared" ref="L82:L90" si="32">L46</f>
        <v>3965</v>
      </c>
      <c r="Q82" s="145"/>
      <c r="R82" s="112"/>
      <c r="S82" s="112"/>
      <c r="T82" s="311" t="s">
        <v>197</v>
      </c>
      <c r="U82" s="41" t="s">
        <v>671</v>
      </c>
      <c r="V82" s="97">
        <f t="shared" si="28"/>
        <v>575</v>
      </c>
      <c r="W82" s="97">
        <f t="shared" si="22"/>
        <v>171.5</v>
      </c>
      <c r="X82" s="97">
        <f t="shared" si="23"/>
        <v>656.5</v>
      </c>
      <c r="Y82" s="97">
        <f t="shared" si="24"/>
        <v>579.5</v>
      </c>
      <c r="Z82" s="97">
        <f t="shared" si="25"/>
        <v>0</v>
      </c>
      <c r="AA82" s="97">
        <f t="shared" si="26"/>
        <v>0</v>
      </c>
      <c r="AB82" s="97">
        <f t="shared" si="29"/>
        <v>1403</v>
      </c>
      <c r="AU82" t="s">
        <v>655</v>
      </c>
      <c r="AV82" t="s">
        <v>105</v>
      </c>
      <c r="AW82" s="75">
        <v>15739.680700000001</v>
      </c>
    </row>
    <row r="83" spans="1:158" ht="16.5" customHeight="1">
      <c r="A83" s="145"/>
      <c r="B83" s="112"/>
      <c r="C83" s="113"/>
      <c r="D83" s="113"/>
      <c r="E83" s="41" t="s">
        <v>299</v>
      </c>
      <c r="F83" s="97">
        <f t="shared" ref="F83:K83" si="33">F47</f>
        <v>2012</v>
      </c>
      <c r="G83" s="97">
        <f t="shared" si="33"/>
        <v>601</v>
      </c>
      <c r="H83" s="97">
        <f t="shared" si="33"/>
        <v>2298</v>
      </c>
      <c r="I83" s="97">
        <f t="shared" si="33"/>
        <v>2028</v>
      </c>
      <c r="J83" s="97">
        <f t="shared" si="33"/>
        <v>0</v>
      </c>
      <c r="K83" s="97">
        <f t="shared" si="33"/>
        <v>0</v>
      </c>
      <c r="L83" s="97">
        <f t="shared" si="32"/>
        <v>6939</v>
      </c>
      <c r="Q83" s="145"/>
      <c r="R83" s="112"/>
      <c r="S83" s="113"/>
      <c r="T83" s="113"/>
      <c r="U83" s="41" t="s">
        <v>673</v>
      </c>
      <c r="V83" s="97">
        <f t="shared" si="28"/>
        <v>1006</v>
      </c>
      <c r="W83" s="97">
        <f t="shared" si="22"/>
        <v>300.5</v>
      </c>
      <c r="X83" s="97">
        <f t="shared" si="23"/>
        <v>1149</v>
      </c>
      <c r="Y83" s="97">
        <f t="shared" si="24"/>
        <v>1014</v>
      </c>
      <c r="Z83" s="97">
        <f t="shared" si="25"/>
        <v>0</v>
      </c>
      <c r="AA83" s="97">
        <f t="shared" si="26"/>
        <v>0</v>
      </c>
      <c r="AB83" s="97">
        <f t="shared" si="29"/>
        <v>2455.5</v>
      </c>
      <c r="AU83" t="s">
        <v>655</v>
      </c>
      <c r="AV83" t="s">
        <v>648</v>
      </c>
      <c r="AW83" s="75">
        <v>34908.721899999997</v>
      </c>
    </row>
    <row r="84" spans="1:158" ht="16.5" customHeight="1">
      <c r="A84" s="145"/>
      <c r="B84" s="113"/>
      <c r="C84" s="490" t="s">
        <v>13</v>
      </c>
      <c r="D84" s="491"/>
      <c r="E84" s="491"/>
      <c r="F84" s="97">
        <f t="shared" ref="F84:K84" si="34">F48</f>
        <v>0</v>
      </c>
      <c r="G84" s="97">
        <f t="shared" si="34"/>
        <v>0</v>
      </c>
      <c r="H84" s="97">
        <f t="shared" si="34"/>
        <v>0</v>
      </c>
      <c r="I84" s="97">
        <f t="shared" si="34"/>
        <v>0</v>
      </c>
      <c r="J84" s="97">
        <f t="shared" si="34"/>
        <v>1639</v>
      </c>
      <c r="K84" s="97">
        <f t="shared" si="34"/>
        <v>17330</v>
      </c>
      <c r="L84" s="97">
        <f t="shared" si="32"/>
        <v>18969</v>
      </c>
      <c r="Q84" s="145"/>
      <c r="R84" s="113"/>
      <c r="S84" s="316" t="s">
        <v>13</v>
      </c>
      <c r="T84" s="317"/>
      <c r="U84" s="317" t="s">
        <v>13</v>
      </c>
      <c r="V84" s="97">
        <f t="shared" si="28"/>
        <v>0</v>
      </c>
      <c r="W84" s="97">
        <f t="shared" si="22"/>
        <v>0</v>
      </c>
      <c r="X84" s="97">
        <f t="shared" si="23"/>
        <v>0</v>
      </c>
      <c r="Y84" s="97">
        <f t="shared" si="24"/>
        <v>0</v>
      </c>
      <c r="Z84" s="97">
        <f t="shared" si="25"/>
        <v>819.5</v>
      </c>
      <c r="AA84" s="97">
        <f t="shared" si="26"/>
        <v>8665</v>
      </c>
      <c r="AB84" s="97">
        <f t="shared" si="29"/>
        <v>819.5</v>
      </c>
      <c r="AU84" t="s">
        <v>661</v>
      </c>
      <c r="AV84" t="s">
        <v>125</v>
      </c>
      <c r="AW84" s="75">
        <v>4662.5794999999998</v>
      </c>
    </row>
    <row r="85" spans="1:158" ht="17" customHeight="1">
      <c r="A85" s="145"/>
      <c r="B85" s="300" t="s">
        <v>300</v>
      </c>
      <c r="C85" s="490" t="s">
        <v>301</v>
      </c>
      <c r="D85" s="491"/>
      <c r="E85" s="491"/>
      <c r="F85" s="97">
        <f t="shared" ref="F85:K85" si="35">F49</f>
        <v>0</v>
      </c>
      <c r="G85" s="97">
        <f t="shared" si="35"/>
        <v>0</v>
      </c>
      <c r="H85" s="97">
        <f t="shared" si="35"/>
        <v>0</v>
      </c>
      <c r="I85" s="97">
        <f t="shared" si="35"/>
        <v>0</v>
      </c>
      <c r="J85" s="97">
        <f t="shared" si="35"/>
        <v>28783</v>
      </c>
      <c r="K85" s="97">
        <f t="shared" si="35"/>
        <v>108761</v>
      </c>
      <c r="L85" s="97">
        <f t="shared" si="32"/>
        <v>137544</v>
      </c>
      <c r="Q85" s="145"/>
      <c r="R85" s="312" t="s">
        <v>300</v>
      </c>
      <c r="S85" s="316" t="s">
        <v>301</v>
      </c>
      <c r="T85" s="317"/>
      <c r="U85" s="317" t="s">
        <v>301</v>
      </c>
      <c r="V85" s="97">
        <f t="shared" si="28"/>
        <v>0</v>
      </c>
      <c r="W85" s="97">
        <f t="shared" si="22"/>
        <v>0</v>
      </c>
      <c r="X85" s="97">
        <f t="shared" si="23"/>
        <v>0</v>
      </c>
      <c r="Y85" s="97">
        <f t="shared" si="24"/>
        <v>0</v>
      </c>
      <c r="Z85" s="97">
        <f t="shared" si="25"/>
        <v>14391.5</v>
      </c>
      <c r="AA85" s="97">
        <f t="shared" si="26"/>
        <v>54380.5</v>
      </c>
      <c r="AB85" s="97">
        <f t="shared" si="29"/>
        <v>14391.5</v>
      </c>
      <c r="AU85" t="s">
        <v>649</v>
      </c>
      <c r="AV85" t="s">
        <v>650</v>
      </c>
      <c r="AW85" s="75">
        <v>1500.06</v>
      </c>
    </row>
    <row r="86" spans="1:158">
      <c r="A86" s="145"/>
      <c r="B86" s="295" t="s">
        <v>20</v>
      </c>
      <c r="C86" s="490" t="s">
        <v>302</v>
      </c>
      <c r="D86" s="491"/>
      <c r="E86" s="491"/>
      <c r="F86" s="97">
        <f t="shared" ref="F86:K86" si="36">F50</f>
        <v>0</v>
      </c>
      <c r="G86" s="97">
        <f t="shared" si="36"/>
        <v>0</v>
      </c>
      <c r="H86" s="97">
        <f t="shared" si="36"/>
        <v>0</v>
      </c>
      <c r="I86" s="97">
        <f t="shared" si="36"/>
        <v>0</v>
      </c>
      <c r="J86" s="97">
        <f t="shared" si="36"/>
        <v>343</v>
      </c>
      <c r="K86" s="97">
        <f t="shared" si="36"/>
        <v>357</v>
      </c>
      <c r="L86" s="97">
        <f t="shared" si="32"/>
        <v>699</v>
      </c>
      <c r="Q86" s="145"/>
      <c r="R86" s="311" t="s">
        <v>20</v>
      </c>
      <c r="S86" s="316" t="s">
        <v>302</v>
      </c>
      <c r="T86" s="317"/>
      <c r="U86" s="317" t="s">
        <v>302</v>
      </c>
      <c r="V86" s="97">
        <f t="shared" si="28"/>
        <v>0</v>
      </c>
      <c r="W86" s="97">
        <f t="shared" si="22"/>
        <v>0</v>
      </c>
      <c r="X86" s="97">
        <f t="shared" si="23"/>
        <v>0</v>
      </c>
      <c r="Y86" s="97">
        <f t="shared" si="24"/>
        <v>0</v>
      </c>
      <c r="Z86" s="97">
        <f t="shared" si="25"/>
        <v>171.5</v>
      </c>
      <c r="AA86" s="97">
        <f t="shared" si="26"/>
        <v>178.5</v>
      </c>
      <c r="AB86" s="97">
        <f t="shared" si="29"/>
        <v>171.5</v>
      </c>
      <c r="AU86" t="s">
        <v>649</v>
      </c>
      <c r="AV86" t="s">
        <v>393</v>
      </c>
      <c r="AW86" s="75">
        <v>1939.5264</v>
      </c>
    </row>
    <row r="87" spans="1:158">
      <c r="A87" s="145"/>
      <c r="B87" s="295" t="s">
        <v>19</v>
      </c>
      <c r="C87" s="490" t="s">
        <v>303</v>
      </c>
      <c r="D87" s="491"/>
      <c r="E87" s="491"/>
      <c r="F87" s="97">
        <f t="shared" ref="F87:K87" si="37">F51</f>
        <v>0</v>
      </c>
      <c r="G87" s="97">
        <f t="shared" si="37"/>
        <v>0</v>
      </c>
      <c r="H87" s="97">
        <f t="shared" si="37"/>
        <v>0</v>
      </c>
      <c r="I87" s="97">
        <f t="shared" si="37"/>
        <v>0</v>
      </c>
      <c r="J87" s="97">
        <f t="shared" si="37"/>
        <v>607</v>
      </c>
      <c r="K87" s="97">
        <f t="shared" si="37"/>
        <v>7517</v>
      </c>
      <c r="L87" s="97">
        <f t="shared" si="32"/>
        <v>8124</v>
      </c>
      <c r="Q87" s="145"/>
      <c r="R87" s="311" t="s">
        <v>19</v>
      </c>
      <c r="S87" s="316" t="s">
        <v>303</v>
      </c>
      <c r="T87" s="317"/>
      <c r="U87" s="317" t="s">
        <v>303</v>
      </c>
      <c r="V87" s="97">
        <f t="shared" si="28"/>
        <v>0</v>
      </c>
      <c r="W87" s="97">
        <f t="shared" si="22"/>
        <v>0</v>
      </c>
      <c r="X87" s="97">
        <f t="shared" si="23"/>
        <v>0</v>
      </c>
      <c r="Y87" s="97">
        <f t="shared" si="24"/>
        <v>0</v>
      </c>
      <c r="Z87" s="97">
        <f t="shared" si="25"/>
        <v>303.5</v>
      </c>
      <c r="AA87" s="97">
        <f t="shared" si="26"/>
        <v>3758.5</v>
      </c>
      <c r="AB87" s="97">
        <f t="shared" si="29"/>
        <v>303.5</v>
      </c>
      <c r="AU87" t="s">
        <v>662</v>
      </c>
      <c r="AV87" t="s">
        <v>395</v>
      </c>
      <c r="AW87" s="75">
        <v>2026.3647000000001</v>
      </c>
    </row>
    <row r="88" spans="1:158" ht="16.5" customHeight="1">
      <c r="A88" s="145"/>
      <c r="B88" s="112"/>
      <c r="C88" s="490" t="s">
        <v>304</v>
      </c>
      <c r="D88" s="491"/>
      <c r="E88" s="491"/>
      <c r="F88" s="97">
        <f t="shared" ref="F88:K88" si="38">F52</f>
        <v>0</v>
      </c>
      <c r="G88" s="97">
        <f t="shared" si="38"/>
        <v>0</v>
      </c>
      <c r="H88" s="97">
        <f t="shared" si="38"/>
        <v>0</v>
      </c>
      <c r="I88" s="97">
        <f t="shared" si="38"/>
        <v>0</v>
      </c>
      <c r="J88" s="97">
        <f t="shared" si="38"/>
        <v>56</v>
      </c>
      <c r="K88" s="97">
        <f t="shared" si="38"/>
        <v>0</v>
      </c>
      <c r="L88" s="97">
        <f t="shared" si="32"/>
        <v>56</v>
      </c>
      <c r="Q88" s="145"/>
      <c r="R88" s="112"/>
      <c r="S88" s="316" t="s">
        <v>304</v>
      </c>
      <c r="T88" s="317"/>
      <c r="U88" s="317" t="s">
        <v>304</v>
      </c>
      <c r="V88" s="97">
        <f t="shared" si="28"/>
        <v>0</v>
      </c>
      <c r="W88" s="97">
        <f t="shared" si="22"/>
        <v>0</v>
      </c>
      <c r="X88" s="97">
        <f t="shared" si="23"/>
        <v>0</v>
      </c>
      <c r="Y88" s="97">
        <f t="shared" si="24"/>
        <v>0</v>
      </c>
      <c r="Z88" s="97">
        <f t="shared" si="25"/>
        <v>28</v>
      </c>
      <c r="AA88" s="97">
        <f t="shared" si="26"/>
        <v>0</v>
      </c>
      <c r="AB88" s="97">
        <f t="shared" si="29"/>
        <v>28</v>
      </c>
      <c r="AU88" t="s">
        <v>208</v>
      </c>
      <c r="AV88" t="s">
        <v>651</v>
      </c>
      <c r="AW88" s="75">
        <v>41993.0622</v>
      </c>
    </row>
    <row r="89" spans="1:158" ht="17.25" customHeight="1">
      <c r="A89" s="145"/>
      <c r="B89" s="112"/>
      <c r="C89" s="490" t="s">
        <v>305</v>
      </c>
      <c r="D89" s="491"/>
      <c r="E89" s="491"/>
      <c r="F89" s="97">
        <f t="shared" ref="F89:K89" si="39">F53</f>
        <v>0</v>
      </c>
      <c r="G89" s="97">
        <f t="shared" si="39"/>
        <v>0</v>
      </c>
      <c r="H89" s="97">
        <f t="shared" si="39"/>
        <v>0</v>
      </c>
      <c r="I89" s="97">
        <f t="shared" si="39"/>
        <v>0</v>
      </c>
      <c r="J89" s="97">
        <f t="shared" si="39"/>
        <v>173</v>
      </c>
      <c r="K89" s="97">
        <f t="shared" si="39"/>
        <v>2196</v>
      </c>
      <c r="L89" s="97">
        <f t="shared" si="32"/>
        <v>2369</v>
      </c>
      <c r="Q89" s="145"/>
      <c r="R89" s="112"/>
      <c r="S89" s="316" t="s">
        <v>305</v>
      </c>
      <c r="T89" s="317"/>
      <c r="U89" s="317" t="s">
        <v>305</v>
      </c>
      <c r="V89" s="97">
        <f t="shared" si="28"/>
        <v>0</v>
      </c>
      <c r="W89" s="97">
        <f t="shared" si="22"/>
        <v>0</v>
      </c>
      <c r="X89" s="97">
        <f t="shared" si="23"/>
        <v>0</v>
      </c>
      <c r="Y89" s="97">
        <f t="shared" si="24"/>
        <v>0</v>
      </c>
      <c r="Z89" s="97">
        <f t="shared" si="25"/>
        <v>86.5</v>
      </c>
      <c r="AA89" s="97">
        <f t="shared" si="26"/>
        <v>1098</v>
      </c>
      <c r="AB89" s="97">
        <f t="shared" si="29"/>
        <v>86.5</v>
      </c>
      <c r="AU89" t="s">
        <v>652</v>
      </c>
      <c r="AV89" t="s">
        <v>398</v>
      </c>
      <c r="AW89" s="75">
        <v>63842.682699999998</v>
      </c>
    </row>
    <row r="90" spans="1:158" ht="17.5" customHeight="1" thickBot="1">
      <c r="A90" s="146"/>
      <c r="B90" s="147"/>
      <c r="C90" s="492" t="s">
        <v>47</v>
      </c>
      <c r="D90" s="493"/>
      <c r="E90" s="493"/>
      <c r="F90" s="97">
        <f t="shared" ref="F90:K90" si="40">F54</f>
        <v>0</v>
      </c>
      <c r="G90" s="97">
        <f t="shared" si="40"/>
        <v>0</v>
      </c>
      <c r="H90" s="97">
        <f t="shared" si="40"/>
        <v>0</v>
      </c>
      <c r="I90" s="97">
        <f t="shared" si="40"/>
        <v>0</v>
      </c>
      <c r="J90" s="97">
        <f t="shared" si="40"/>
        <v>14989</v>
      </c>
      <c r="K90" s="97">
        <f t="shared" si="40"/>
        <v>45824</v>
      </c>
      <c r="L90" s="97">
        <f t="shared" si="32"/>
        <v>60814</v>
      </c>
      <c r="Q90" s="146"/>
      <c r="R90" s="147"/>
      <c r="S90" s="320" t="s">
        <v>47</v>
      </c>
      <c r="T90" s="321"/>
      <c r="U90" s="321" t="s">
        <v>47</v>
      </c>
      <c r="V90" s="97">
        <f t="shared" si="28"/>
        <v>0</v>
      </c>
      <c r="W90" s="97">
        <f t="shared" si="22"/>
        <v>0</v>
      </c>
      <c r="X90" s="97">
        <f t="shared" si="23"/>
        <v>0</v>
      </c>
      <c r="Y90" s="97">
        <f t="shared" si="24"/>
        <v>0</v>
      </c>
      <c r="Z90" s="97">
        <f t="shared" si="25"/>
        <v>7494.5</v>
      </c>
      <c r="AA90" s="97">
        <f t="shared" si="26"/>
        <v>22912</v>
      </c>
      <c r="AB90" s="97">
        <f t="shared" si="29"/>
        <v>7494.5</v>
      </c>
    </row>
    <row r="91" spans="1:158">
      <c r="L91" s="97">
        <f>SUM(L79:L90)</f>
        <v>300726</v>
      </c>
      <c r="U91" t="s">
        <v>677</v>
      </c>
      <c r="V91" s="97">
        <f>SUM(V79:V90)</f>
        <v>10129.5</v>
      </c>
      <c r="W91">
        <f t="shared" ref="W91" si="41">SUM(W79:W90)</f>
        <v>3025.5</v>
      </c>
      <c r="X91">
        <f t="shared" ref="X91" si="42">SUM(X79:X90)</f>
        <v>11569</v>
      </c>
      <c r="Y91">
        <f t="shared" ref="Y91" si="43">SUM(Y79:Y90)</f>
        <v>11351.5</v>
      </c>
      <c r="Z91">
        <f t="shared" ref="Z91" si="44">SUM(Z79:Z90)</f>
        <v>23295</v>
      </c>
      <c r="AA91">
        <f t="shared" ref="AA91" si="45">SUM(AA79:AA90)</f>
        <v>90992.5</v>
      </c>
      <c r="AB91" s="97">
        <f t="shared" si="29"/>
        <v>48019</v>
      </c>
    </row>
    <row r="92" spans="1:158">
      <c r="X92" s="97"/>
    </row>
    <row r="93" spans="1:158">
      <c r="FB93" s="32" t="s">
        <v>863</v>
      </c>
    </row>
    <row r="94" spans="1:158">
      <c r="FA94" s="279"/>
      <c r="FB94" s="279" t="s">
        <v>601</v>
      </c>
    </row>
    <row r="95" spans="1:158">
      <c r="L95" s="403"/>
      <c r="M95" s="32" t="s">
        <v>851</v>
      </c>
      <c r="FA95" s="279" t="s">
        <v>602</v>
      </c>
      <c r="FB95" s="293">
        <v>1</v>
      </c>
    </row>
    <row r="99" spans="1:174" s="227" customFormat="1" ht="19.5">
      <c r="A99" s="329">
        <v>2025</v>
      </c>
      <c r="B99" s="282"/>
      <c r="C99" s="283"/>
      <c r="D99" s="284"/>
      <c r="E99" s="284"/>
      <c r="F99" s="284"/>
      <c r="G99" s="284"/>
      <c r="H99" s="284"/>
      <c r="I99" s="284"/>
      <c r="K99" s="282"/>
      <c r="L99" s="282"/>
      <c r="M99" s="283"/>
      <c r="N99" s="284"/>
      <c r="O99" s="284"/>
      <c r="P99" s="284"/>
      <c r="Q99" s="284"/>
      <c r="R99" s="284"/>
      <c r="S99" s="284"/>
    </row>
    <row r="100" spans="1:174" ht="23.5" thickBot="1">
      <c r="A100" s="32" t="s">
        <v>468</v>
      </c>
      <c r="C100" t="s">
        <v>463</v>
      </c>
      <c r="D100" t="s">
        <v>467</v>
      </c>
      <c r="E100" t="s">
        <v>470</v>
      </c>
      <c r="F100" t="s">
        <v>465</v>
      </c>
      <c r="G100" t="s">
        <v>466</v>
      </c>
      <c r="H100" t="s">
        <v>21</v>
      </c>
      <c r="K100" s="32" t="s">
        <v>471</v>
      </c>
      <c r="CV100" s="32" t="s">
        <v>492</v>
      </c>
      <c r="CY100" t="s">
        <v>478</v>
      </c>
      <c r="CZ100" t="s">
        <v>479</v>
      </c>
      <c r="ET100" s="353" t="s">
        <v>861</v>
      </c>
      <c r="FD100" s="353" t="s">
        <v>745</v>
      </c>
      <c r="FL100" s="353"/>
    </row>
    <row r="101" spans="1:174">
      <c r="A101" t="s">
        <v>462</v>
      </c>
      <c r="C101" t="s">
        <v>427</v>
      </c>
      <c r="D101" t="s">
        <v>428</v>
      </c>
      <c r="E101" t="s">
        <v>429</v>
      </c>
      <c r="F101" t="s">
        <v>430</v>
      </c>
      <c r="G101" t="s">
        <v>431</v>
      </c>
      <c r="H101" t="s">
        <v>457</v>
      </c>
      <c r="K101" s="159" t="s">
        <v>482</v>
      </c>
      <c r="L101" s="159"/>
      <c r="M101" s="443" t="s">
        <v>463</v>
      </c>
      <c r="N101" s="444"/>
      <c r="O101" s="444"/>
      <c r="P101" s="444"/>
      <c r="Q101" s="444"/>
      <c r="R101" s="444"/>
      <c r="S101" s="444"/>
      <c r="T101" s="444"/>
      <c r="U101" s="444"/>
      <c r="V101" s="444"/>
      <c r="W101" s="444"/>
      <c r="X101" s="444"/>
      <c r="Y101" s="444"/>
      <c r="Z101" s="445"/>
      <c r="AA101" s="443" t="s">
        <v>467</v>
      </c>
      <c r="AB101" s="444"/>
      <c r="AC101" s="444"/>
      <c r="AD101" s="444"/>
      <c r="AE101" s="444"/>
      <c r="AF101" s="444"/>
      <c r="AG101" s="444"/>
      <c r="AH101" s="444"/>
      <c r="AI101" s="444"/>
      <c r="AJ101" s="444"/>
      <c r="AK101" s="444"/>
      <c r="AL101" s="444"/>
      <c r="AM101" s="444"/>
      <c r="AN101" s="445"/>
      <c r="AO101" s="443" t="s">
        <v>464</v>
      </c>
      <c r="AP101" s="444"/>
      <c r="AQ101" s="444"/>
      <c r="AR101" s="444"/>
      <c r="AS101" s="444"/>
      <c r="AT101" s="444"/>
      <c r="AU101" s="444"/>
      <c r="AV101" s="444"/>
      <c r="AW101" s="444"/>
      <c r="AX101" s="444"/>
      <c r="AY101" s="444"/>
      <c r="AZ101" s="444"/>
      <c r="BA101" s="444"/>
      <c r="BB101" s="445"/>
      <c r="BC101" s="443" t="s">
        <v>465</v>
      </c>
      <c r="BD101" s="444"/>
      <c r="BE101" s="444"/>
      <c r="BF101" s="444"/>
      <c r="BG101" s="444"/>
      <c r="BH101" s="444"/>
      <c r="BI101" s="444"/>
      <c r="BJ101" s="444"/>
      <c r="BK101" s="444"/>
      <c r="BL101" s="444"/>
      <c r="BM101" s="444"/>
      <c r="BN101" s="444"/>
      <c r="BO101" s="444"/>
      <c r="BP101" s="445"/>
      <c r="BQ101" s="443" t="s">
        <v>466</v>
      </c>
      <c r="BR101" s="444"/>
      <c r="BS101" s="444"/>
      <c r="BT101" s="444"/>
      <c r="BU101" s="444"/>
      <c r="BV101" s="444"/>
      <c r="BW101" s="444"/>
      <c r="BX101" s="444"/>
      <c r="BY101" s="444"/>
      <c r="BZ101" s="444"/>
      <c r="CA101" s="444"/>
      <c r="CB101" s="444"/>
      <c r="CC101" s="444"/>
      <c r="CD101" s="445"/>
      <c r="CE101" s="443" t="s">
        <v>21</v>
      </c>
      <c r="CF101" s="444"/>
      <c r="CG101" s="444"/>
      <c r="CH101" s="444"/>
      <c r="CI101" s="444"/>
      <c r="CJ101" s="444"/>
      <c r="CK101" s="444"/>
      <c r="CL101" s="444"/>
      <c r="CM101" s="444"/>
      <c r="CN101" s="444"/>
      <c r="CO101" s="444"/>
      <c r="CP101" s="444"/>
      <c r="CQ101" s="444"/>
      <c r="CR101" s="445"/>
      <c r="CV101" s="263" t="s">
        <v>482</v>
      </c>
      <c r="CW101" s="263"/>
      <c r="CX101" s="446" t="s">
        <v>554</v>
      </c>
      <c r="CY101" s="439"/>
      <c r="CZ101" s="439"/>
      <c r="DA101" s="440"/>
      <c r="DB101" s="438" t="s">
        <v>553</v>
      </c>
      <c r="DC101" s="439"/>
      <c r="DD101" s="439"/>
      <c r="DE101" s="440"/>
      <c r="DF101" s="438" t="s">
        <v>464</v>
      </c>
      <c r="DG101" s="439"/>
      <c r="DH101" s="439"/>
      <c r="DI101" s="440"/>
      <c r="DJ101" s="438" t="s">
        <v>465</v>
      </c>
      <c r="DK101" s="439"/>
      <c r="DL101" s="439"/>
      <c r="DM101" s="440"/>
      <c r="DN101" s="438" t="s">
        <v>466</v>
      </c>
      <c r="DO101" s="439"/>
      <c r="DP101" s="439"/>
      <c r="DQ101" s="440"/>
      <c r="DR101" s="438" t="s">
        <v>21</v>
      </c>
      <c r="DS101" s="439"/>
      <c r="DT101" s="439"/>
      <c r="DU101" s="441"/>
      <c r="DW101" s="278"/>
      <c r="DX101" s="278"/>
      <c r="DY101" s="442" t="s">
        <v>588</v>
      </c>
      <c r="DZ101" s="442"/>
      <c r="EB101" s="278"/>
      <c r="EC101" s="278"/>
      <c r="ED101" s="442" t="s">
        <v>588</v>
      </c>
      <c r="EE101" s="442"/>
      <c r="EI101" t="s">
        <v>599</v>
      </c>
    </row>
    <row r="102" spans="1:174">
      <c r="A102" s="199"/>
      <c r="B102" s="199"/>
      <c r="C102" s="202" t="s">
        <v>463</v>
      </c>
      <c r="D102" s="202" t="s">
        <v>467</v>
      </c>
      <c r="E102" s="202" t="s">
        <v>464</v>
      </c>
      <c r="F102" s="202" t="s">
        <v>465</v>
      </c>
      <c r="G102" s="202" t="s">
        <v>678</v>
      </c>
      <c r="H102" s="202" t="s">
        <v>21</v>
      </c>
      <c r="K102" s="159"/>
      <c r="L102" s="159"/>
      <c r="M102" s="211" t="s">
        <v>472</v>
      </c>
      <c r="N102" s="160" t="s">
        <v>156</v>
      </c>
      <c r="O102" s="160" t="s">
        <v>475</v>
      </c>
      <c r="P102" s="160" t="s">
        <v>476</v>
      </c>
      <c r="Q102" s="160" t="s">
        <v>477</v>
      </c>
      <c r="R102" s="160" t="s">
        <v>478</v>
      </c>
      <c r="S102" s="160" t="s">
        <v>479</v>
      </c>
      <c r="T102" s="160" t="s">
        <v>480</v>
      </c>
      <c r="U102" s="160" t="s">
        <v>449</v>
      </c>
      <c r="V102" s="160" t="s">
        <v>157</v>
      </c>
      <c r="W102" s="160" t="s">
        <v>473</v>
      </c>
      <c r="X102" s="160" t="s">
        <v>474</v>
      </c>
      <c r="Y102" s="160" t="s">
        <v>46</v>
      </c>
      <c r="Z102" s="212" t="s">
        <v>11</v>
      </c>
      <c r="AA102" s="211" t="s">
        <v>472</v>
      </c>
      <c r="AB102" s="160" t="s">
        <v>156</v>
      </c>
      <c r="AC102" s="160" t="s">
        <v>475</v>
      </c>
      <c r="AD102" s="160" t="s">
        <v>476</v>
      </c>
      <c r="AE102" s="160" t="s">
        <v>477</v>
      </c>
      <c r="AF102" s="160" t="s">
        <v>478</v>
      </c>
      <c r="AG102" s="160" t="s">
        <v>479</v>
      </c>
      <c r="AH102" s="160" t="s">
        <v>480</v>
      </c>
      <c r="AI102" s="160" t="s">
        <v>449</v>
      </c>
      <c r="AJ102" s="160" t="s">
        <v>157</v>
      </c>
      <c r="AK102" s="160" t="s">
        <v>473</v>
      </c>
      <c r="AL102" s="160" t="s">
        <v>474</v>
      </c>
      <c r="AM102" s="160" t="s">
        <v>46</v>
      </c>
      <c r="AN102" s="212" t="s">
        <v>11</v>
      </c>
      <c r="AO102" s="211" t="s">
        <v>472</v>
      </c>
      <c r="AP102" s="160" t="s">
        <v>156</v>
      </c>
      <c r="AQ102" s="160" t="s">
        <v>475</v>
      </c>
      <c r="AR102" s="160" t="s">
        <v>476</v>
      </c>
      <c r="AS102" s="160" t="s">
        <v>477</v>
      </c>
      <c r="AT102" s="160" t="s">
        <v>478</v>
      </c>
      <c r="AU102" s="160" t="s">
        <v>479</v>
      </c>
      <c r="AV102" s="160" t="s">
        <v>480</v>
      </c>
      <c r="AW102" s="160" t="s">
        <v>449</v>
      </c>
      <c r="AX102" s="160" t="s">
        <v>157</v>
      </c>
      <c r="AY102" s="160" t="s">
        <v>473</v>
      </c>
      <c r="AZ102" s="160" t="s">
        <v>474</v>
      </c>
      <c r="BA102" s="160" t="s">
        <v>46</v>
      </c>
      <c r="BB102" s="212" t="s">
        <v>11</v>
      </c>
      <c r="BC102" s="211" t="s">
        <v>472</v>
      </c>
      <c r="BD102" s="160" t="s">
        <v>156</v>
      </c>
      <c r="BE102" s="160" t="s">
        <v>475</v>
      </c>
      <c r="BF102" s="160" t="s">
        <v>476</v>
      </c>
      <c r="BG102" s="160" t="s">
        <v>477</v>
      </c>
      <c r="BH102" s="160" t="s">
        <v>478</v>
      </c>
      <c r="BI102" s="160" t="s">
        <v>479</v>
      </c>
      <c r="BJ102" s="160" t="s">
        <v>480</v>
      </c>
      <c r="BK102" s="160" t="s">
        <v>449</v>
      </c>
      <c r="BL102" s="160" t="s">
        <v>157</v>
      </c>
      <c r="BM102" s="160" t="s">
        <v>473</v>
      </c>
      <c r="BN102" s="160" t="s">
        <v>474</v>
      </c>
      <c r="BO102" s="160" t="s">
        <v>46</v>
      </c>
      <c r="BP102" s="212" t="s">
        <v>11</v>
      </c>
      <c r="BQ102" s="211" t="s">
        <v>472</v>
      </c>
      <c r="BR102" s="160" t="s">
        <v>156</v>
      </c>
      <c r="BS102" s="160" t="s">
        <v>475</v>
      </c>
      <c r="BT102" s="160" t="s">
        <v>476</v>
      </c>
      <c r="BU102" s="160" t="s">
        <v>477</v>
      </c>
      <c r="BV102" s="160" t="s">
        <v>478</v>
      </c>
      <c r="BW102" s="160" t="s">
        <v>479</v>
      </c>
      <c r="BX102" s="160" t="s">
        <v>480</v>
      </c>
      <c r="BY102" s="160" t="s">
        <v>449</v>
      </c>
      <c r="BZ102" s="160" t="s">
        <v>157</v>
      </c>
      <c r="CA102" s="160" t="s">
        <v>473</v>
      </c>
      <c r="CB102" s="160" t="s">
        <v>474</v>
      </c>
      <c r="CC102" s="160" t="s">
        <v>46</v>
      </c>
      <c r="CD102" s="212" t="s">
        <v>11</v>
      </c>
      <c r="CE102" s="211" t="s">
        <v>472</v>
      </c>
      <c r="CF102" s="160" t="s">
        <v>156</v>
      </c>
      <c r="CG102" s="160" t="s">
        <v>475</v>
      </c>
      <c r="CH102" s="160" t="s">
        <v>476</v>
      </c>
      <c r="CI102" s="160" t="s">
        <v>477</v>
      </c>
      <c r="CJ102" s="160" t="s">
        <v>478</v>
      </c>
      <c r="CK102" s="160" t="s">
        <v>479</v>
      </c>
      <c r="CL102" s="160" t="s">
        <v>480</v>
      </c>
      <c r="CM102" s="160" t="s">
        <v>449</v>
      </c>
      <c r="CN102" s="160" t="s">
        <v>157</v>
      </c>
      <c r="CO102" s="160" t="s">
        <v>473</v>
      </c>
      <c r="CP102" s="160" t="s">
        <v>474</v>
      </c>
      <c r="CQ102" s="160" t="s">
        <v>46</v>
      </c>
      <c r="CR102" s="212" t="s">
        <v>11</v>
      </c>
      <c r="CV102" s="263"/>
      <c r="CW102" s="263"/>
      <c r="CX102" s="264" t="s">
        <v>156</v>
      </c>
      <c r="CY102" s="264" t="s">
        <v>478</v>
      </c>
      <c r="CZ102" s="264" t="s">
        <v>479</v>
      </c>
      <c r="DA102" s="264" t="s">
        <v>157</v>
      </c>
      <c r="DB102" s="264" t="s">
        <v>156</v>
      </c>
      <c r="DC102" s="264" t="s">
        <v>478</v>
      </c>
      <c r="DD102" s="264" t="s">
        <v>479</v>
      </c>
      <c r="DE102" s="264" t="s">
        <v>157</v>
      </c>
      <c r="DF102" s="264" t="s">
        <v>156</v>
      </c>
      <c r="DG102" s="264" t="s">
        <v>478</v>
      </c>
      <c r="DH102" s="264" t="s">
        <v>479</v>
      </c>
      <c r="DI102" s="264" t="s">
        <v>157</v>
      </c>
      <c r="DJ102" s="264" t="s">
        <v>156</v>
      </c>
      <c r="DK102" s="264" t="s">
        <v>478</v>
      </c>
      <c r="DL102" s="264" t="s">
        <v>479</v>
      </c>
      <c r="DM102" s="264" t="s">
        <v>157</v>
      </c>
      <c r="DN102" s="264" t="s">
        <v>156</v>
      </c>
      <c r="DO102" s="264" t="s">
        <v>478</v>
      </c>
      <c r="DP102" s="264" t="s">
        <v>479</v>
      </c>
      <c r="DQ102" s="264" t="s">
        <v>157</v>
      </c>
      <c r="DR102" s="264" t="s">
        <v>156</v>
      </c>
      <c r="DS102" s="264" t="s">
        <v>478</v>
      </c>
      <c r="DT102" s="264" t="s">
        <v>479</v>
      </c>
      <c r="DU102" s="264" t="s">
        <v>157</v>
      </c>
      <c r="DW102" s="278"/>
      <c r="DX102" s="278"/>
      <c r="DY102" s="280" t="s">
        <v>585</v>
      </c>
      <c r="DZ102" s="280" t="s">
        <v>259</v>
      </c>
      <c r="EB102" s="278"/>
      <c r="EC102" s="278"/>
      <c r="ED102" s="280" t="s">
        <v>585</v>
      </c>
      <c r="EE102" s="280" t="s">
        <v>259</v>
      </c>
      <c r="EL102" s="306" t="s">
        <v>564</v>
      </c>
      <c r="EM102" s="306" t="s">
        <v>565</v>
      </c>
      <c r="EN102" s="306" t="s">
        <v>566</v>
      </c>
      <c r="EO102" s="306" t="s">
        <v>562</v>
      </c>
      <c r="EP102" s="307" t="s">
        <v>597</v>
      </c>
      <c r="EQ102" s="307" t="s">
        <v>585</v>
      </c>
      <c r="ER102" s="307" t="s">
        <v>259</v>
      </c>
      <c r="ET102" s="420" t="s">
        <v>564</v>
      </c>
      <c r="EU102" s="420" t="s">
        <v>565</v>
      </c>
      <c r="EV102" s="420" t="s">
        <v>566</v>
      </c>
      <c r="EW102" s="420" t="s">
        <v>562</v>
      </c>
      <c r="EX102" s="421" t="s">
        <v>597</v>
      </c>
      <c r="EY102" s="421" t="s">
        <v>585</v>
      </c>
      <c r="EZ102" s="421" t="s">
        <v>259</v>
      </c>
      <c r="FA102" s="424" t="s">
        <v>865</v>
      </c>
      <c r="FD102" s="306" t="s">
        <v>564</v>
      </c>
      <c r="FE102" s="306" t="s">
        <v>565</v>
      </c>
      <c r="FF102" s="306" t="s">
        <v>566</v>
      </c>
      <c r="FG102" s="306" t="s">
        <v>562</v>
      </c>
      <c r="FH102" s="307" t="s">
        <v>597</v>
      </c>
      <c r="FI102" s="307" t="s">
        <v>585</v>
      </c>
      <c r="FJ102" s="307" t="s">
        <v>259</v>
      </c>
      <c r="FL102" s="101"/>
      <c r="FM102" s="101"/>
      <c r="FN102" s="101"/>
      <c r="FO102" s="101"/>
      <c r="FP102" s="374"/>
      <c r="FQ102" s="374"/>
      <c r="FR102" s="374"/>
    </row>
    <row r="103" spans="1:174">
      <c r="A103" s="205"/>
      <c r="B103" s="205" t="s">
        <v>12</v>
      </c>
      <c r="C103" s="400">
        <f>$AB61*KTDB_TripDistribution_2035!L$12 * (1+KTDB_발생량도착량_증가율!$C$8*2) * (1+KTDB_발생량도착량_증가율!$D$7*5) * (1+KTDB_발생량도착량_증가율!$E$7*5)</f>
        <v>61.747420882522469</v>
      </c>
      <c r="D103" s="400">
        <f>$AB61*KTDB_TripDistribution_2035!M$12 * (1+KTDB_발생량도착량_증가율!$C$8*2) * (1+KTDB_발생량도착량_증가율!$D$7*5) * (1+KTDB_발생량도착량_증가율!$E$7*5)</f>
        <v>480.15617905454354</v>
      </c>
      <c r="E103" s="400">
        <f>$AB61*KTDB_TripDistribution_2035!N$12 * (1+KTDB_발생량도착량_증가율!$C$8*2) * (1+KTDB_발생량도착량_증가율!$D$7*5) * (1+KTDB_발생량도착량_증가율!$E$7*5)</f>
        <v>21.283092179869328</v>
      </c>
      <c r="F103" s="400">
        <f>$AB61*KTDB_TripDistribution_2035!O$12 * (1+KTDB_발생량도착량_증가율!$C$8*2) * (1+KTDB_발생량도착량_증가율!$D$7*5) * (1+KTDB_발생량도착량_증가율!$E$7*5)</f>
        <v>5.7716860148797955E-2</v>
      </c>
      <c r="G103" s="400">
        <f>$AB61*KTDB_TripDistribution_2035!P$12 * (1+KTDB_발생량도착량_증가율!$C$8*2) * (1+KTDB_발생량도착량_증가율!$D$7*5) * (1+KTDB_발생량도착량_증가율!$E$7*5)</f>
        <v>0.16353110375492805</v>
      </c>
      <c r="H103" s="400">
        <f>$AB61*KTDB_TripDistribution_2035!Q$12 * (1+KTDB_발생량도착량_증가율!$C$8*2) * (1+KTDB_발생량도착량_증가율!$D$7*5) * (1+KTDB_발생량도착량_증가율!$E$7*5)</f>
        <v>563.40794008083913</v>
      </c>
      <c r="J103" s="230">
        <f t="shared" ref="J103:J107" si="46">CR103</f>
        <v>563.40794008083913</v>
      </c>
      <c r="K103" s="206"/>
      <c r="L103" s="206" t="s">
        <v>12</v>
      </c>
      <c r="M103" s="206">
        <f>INDEX($A$102:$H$115,MATCH($L103,$B$102:$B$115,0),MATCH($M$101,$A$102:$H$102,0))*고양시_Modal_split!C$3 * 0.01</f>
        <v>0.17289277847106291</v>
      </c>
      <c r="N103" s="206">
        <f>INDEX($A$102:$H$115,MATCH($L103,$B$102:$B$115,0),MATCH($M$101,$A$102:$H$102,0))*고양시_Modal_split!D$3 * 0.01</f>
        <v>29.039812041050318</v>
      </c>
      <c r="O103" s="206">
        <f>INDEX($A$102:$H$115,MATCH($L103,$B$102:$B$115,0),MATCH($M$101,$A$102:$H$102,0))*고양시_Modal_split!E$3 * 0.01</f>
        <v>3.5134282482155283</v>
      </c>
      <c r="P103" s="206">
        <f>INDEX($A$102:$H$115,MATCH($L103,$B$102:$B$115,0),MATCH($M$101,$A$102:$H$102,0))*고양시_Modal_split!F$3 * 0.01</f>
        <v>5.6622384949273101</v>
      </c>
      <c r="Q103" s="206">
        <f>INDEX($A$102:$H$115,MATCH($L103,$B$102:$B$115,0),MATCH($M$101,$A$102:$H$102,0))*고양시_Modal_split!G$3 * 0.01</f>
        <v>0.56807627211920664</v>
      </c>
      <c r="R103" s="206">
        <f>INDEX($A$102:$H$115,MATCH($L103,$B$102:$B$115,0),MATCH($M$101,$A$102:$H$102,0))*고양시_Modal_split!H$3 * 0.01</f>
        <v>6.1747420882522479E-3</v>
      </c>
      <c r="S103" s="206">
        <f>INDEX($A$102:$H$115,MATCH($L103,$B$102:$B$115,0),MATCH($M$101,$A$102:$H$102,0))*고양시_Modal_split!I$3 * 0.01</f>
        <v>1.7165783005341246</v>
      </c>
      <c r="T103" s="206">
        <f>INDEX($A$102:$H$115,MATCH($L103,$B$102:$B$115,0),MATCH($M$101,$A$102:$H$102,0))*고양시_Modal_split!J$3 * 0.01</f>
        <v>18.795914916639841</v>
      </c>
      <c r="U103" s="206">
        <f>INDEX($A$102:$H$115,MATCH($L103,$B$102:$B$115,0),MATCH($M$101,$A$102:$H$102,0))*고양시_Modal_split!K$3 * 0.01</f>
        <v>9.2621131323783704E-2</v>
      </c>
      <c r="V103" s="206">
        <f>INDEX($A$102:$H$115,MATCH($L103,$B$102:$B$115,0),MATCH($M$101,$A$102:$H$102,0))*고양시_Modal_split!L$3 * 0.01</f>
        <v>1.8647721106521786</v>
      </c>
      <c r="W103" s="206">
        <f>INDEX($A$102:$H$115,MATCH($L103,$B$102:$B$115,0),MATCH($M$101,$A$102:$H$102,0))*고양시_Modal_split!M$3 * 0.01</f>
        <v>0.14201906802980166</v>
      </c>
      <c r="X103" s="206">
        <f>INDEX($A$102:$H$115,MATCH($L103,$B$102:$B$115,0),MATCH($M$101,$A$102:$H$102,0))*고양시_Modal_split!N$3 * 0.01</f>
        <v>6.1747420882522476E-2</v>
      </c>
      <c r="Y103" s="206">
        <f>INDEX($A$102:$H$115,MATCH($L103,$B$102:$B$115,0),MATCH($M$101,$A$102:$H$102,0))*고양시_Modal_split!O$3 * 0.01</f>
        <v>0.11114535758854045</v>
      </c>
      <c r="Z103" s="209">
        <f>INDEX($A$102:$H$115,MATCH($L103,$B$102:$B$115,0),MATCH($M$101,$A$102:$H$102,0))*고양시_Modal_split!P$3 * 0.01</f>
        <v>61.747420882522469</v>
      </c>
      <c r="AA103" s="207">
        <f>INDEX($A$102:$H$115,MATCH($L103,$B$102:$B$115,0),MATCH($AA$101,$A$102:$H$102,0))*고양시_Modal_split!C$3 * 0.01</f>
        <v>1.3444373013527218</v>
      </c>
      <c r="AB103" s="207">
        <f>INDEX($A$102:$H$115,MATCH($L103,$B$102:$B$115,0),MATCH($AA$101,$A$102:$H$102,0))*고양시_Modal_split!D$3 * 0.01</f>
        <v>225.81745100935183</v>
      </c>
      <c r="AC103" s="207">
        <f>INDEX($A$102:$H$115,MATCH($L103,$B$102:$B$115,0),MATCH($AA$101,$A$102:$H$102,0))*고양시_Modal_split!E$3 * 0.01</f>
        <v>27.320886588203525</v>
      </c>
      <c r="AD103" s="207">
        <f>INDEX($A$102:$H$115,MATCH($L103,$B$102:$B$115,0),MATCH($AA$101,$A$102:$H$102,0))*고양시_Modal_split!F$3 * 0.01</f>
        <v>44.030321619301638</v>
      </c>
      <c r="AE103" s="207">
        <f>INDEX($A$102:$H$115,MATCH($L103,$B$102:$B$115,0),MATCH($AA$101,$A$102:$H$102,0))*고양시_Modal_split!G$3 * 0.01</f>
        <v>4.4174368473017998</v>
      </c>
      <c r="AF103" s="207">
        <f>INDEX($A$102:$H$115,MATCH($L103,$B$102:$B$115,0),MATCH($AA$101,$A$102:$H$102,0))*고양시_Modal_split!H$3 * 0.01</f>
        <v>4.8015617905454361E-2</v>
      </c>
      <c r="AG103" s="207">
        <f>INDEX($A$102:$H$115,MATCH($L103,$B$102:$B$115,0),MATCH($AA$101,$A$102:$H$102,0))*고양시_Modal_split!I$3 * 0.01</f>
        <v>13.34834177771631</v>
      </c>
      <c r="AH103" s="207">
        <f>INDEX($A$102:$H$115,MATCH($L103,$B$102:$B$115,0),MATCH($AA$101,$A$102:$H$102,0))*고양시_Modal_split!J$3 * 0.01</f>
        <v>146.15954090420306</v>
      </c>
      <c r="AI103" s="207">
        <f>INDEX($A$102:$H$115,MATCH($L103,$B$102:$B$115,0),MATCH($AA$101,$A$102:$H$102,0))*고양시_Modal_split!K$3 * 0.01</f>
        <v>0.72023426858181527</v>
      </c>
      <c r="AJ103" s="207">
        <f>INDEX($A$102:$H$115,MATCH($L103,$B$102:$B$115,0),MATCH($AA$101,$A$102:$H$102,0))*고양시_Modal_split!L$3 * 0.01</f>
        <v>14.500716607447217</v>
      </c>
      <c r="AK103" s="207">
        <f>INDEX($A$102:$H$115,MATCH($L103,$B$102:$B$115,0),MATCH($AA$101,$A$102:$H$102,0))*고양시_Modal_split!M$3 * 0.01</f>
        <v>1.1043592118254499</v>
      </c>
      <c r="AL103" s="207">
        <f>INDEX($A$102:$H$115,MATCH($L103,$B$102:$B$115,0),MATCH($AA$101,$A$102:$H$102,0))*고양시_Modal_split!N$3 * 0.01</f>
        <v>0.48015617905454355</v>
      </c>
      <c r="AM103" s="207">
        <f>INDEX($A$102:$H$115,MATCH($L103,$B$102:$B$115,0),MATCH($AA$101,$A$102:$H$102,0))*고양시_Modal_split!O$3 * 0.01</f>
        <v>0.86428112229817833</v>
      </c>
      <c r="AN103" s="207">
        <f>INDEX($A$102:$H$115,MATCH($L103,$B$102:$B$115,0),MATCH($AA$101,$A$102:$H$102,0))*고양시_Modal_split!P$3 * 0.01</f>
        <v>480.15617905454354</v>
      </c>
      <c r="AO103" s="303">
        <f>INDEX($A$102:$H$115,MATCH($L103,$B$102:$B$115,0),MATCH($AO$101,$A$102:$H$102,0))*고양시_Modal_split!C$3 * 0.01</f>
        <v>5.9592658103634115E-2</v>
      </c>
      <c r="AP103" s="303">
        <f>INDEX($A$102:$H$115,MATCH($L103,$B$102:$B$115,0),MATCH($AO$101,$A$102:$H$102,0))*고양시_Modal_split!D$3 * 0.01</f>
        <v>10.009438252192545</v>
      </c>
      <c r="AQ103" s="303">
        <f>INDEX($A$102:$H$115,MATCH($L103,$B$102:$B$115,0),MATCH($AO$101,$A$102:$H$102,0))*고양시_Modal_split!E$3 * 0.01</f>
        <v>1.2110079450345648</v>
      </c>
      <c r="AR103" s="303">
        <f>INDEX($A$102:$H$115,MATCH($L103,$B$102:$B$115,0),MATCH($AO$101,$A$102:$H$102,0))*고양시_Modal_split!F$3 * 0.01</f>
        <v>1.9516595528940175</v>
      </c>
      <c r="AS103" s="303">
        <f>INDEX($A$102:$H$115,MATCH($L103,$B$102:$B$115,0),MATCH($AO$101,$A$102:$H$102,0))*고양시_Modal_split!G$3 * 0.01</f>
        <v>0.1958044480547978</v>
      </c>
      <c r="AT103" s="303">
        <f>INDEX($A$102:$H$115,MATCH($L103,$B$102:$B$115,0),MATCH($AO$101,$A$102:$H$102,0))*고양시_Modal_split!H$3 * 0.01</f>
        <v>2.1283092179869329E-3</v>
      </c>
      <c r="AU103" s="303">
        <f>INDEX($A$102:$H$115,MATCH($L103,$B$102:$B$115,0),MATCH($AO$101,$A$102:$H$102,0))*고양시_Modal_split!I$3 * 0.01</f>
        <v>0.59166996260036731</v>
      </c>
      <c r="AV103" s="303">
        <f>INDEX($A$102:$H$115,MATCH($L103,$B$102:$B$115,0),MATCH($AO$101,$A$102:$H$102,0))*고양시_Modal_split!J$3 * 0.01</f>
        <v>6.4785732595522232</v>
      </c>
      <c r="AW103" s="303">
        <f>INDEX($A$102:$H$115,MATCH($L103,$B$102:$B$115,0),MATCH($AO$101,$A$102:$H$102,0))*고양시_Modal_split!K$3 * 0.01</f>
        <v>3.1924638269803997E-2</v>
      </c>
      <c r="AX103" s="303">
        <f>INDEX($A$102:$H$115,MATCH($L103,$B$102:$B$115,0),MATCH($AO$101,$A$102:$H$102,0))*고양시_Modal_split!L$3 * 0.01</f>
        <v>0.64274938383205371</v>
      </c>
      <c r="AY103" s="303">
        <f>INDEX($A$102:$H$115,MATCH($L103,$B$102:$B$115,0),MATCH($AO$101,$A$102:$H$102,0))*고양시_Modal_split!M$3 * 0.01</f>
        <v>4.8951112013699449E-2</v>
      </c>
      <c r="AZ103" s="303">
        <f>INDEX($A$102:$H$115,MATCH($L103,$B$102:$B$115,0),MATCH($AO$101,$A$102:$H$102,0))*고양시_Modal_split!N$3 * 0.01</f>
        <v>2.1283092179869328E-2</v>
      </c>
      <c r="BA103" s="207">
        <f>INDEX($A$102:$H$115,MATCH($L103,$B$102:$B$115,0),MATCH($AO$101,$A$102:$H$102,0))*고양시_Modal_split!O$3 * 0.01</f>
        <v>3.8309565923764791E-2</v>
      </c>
      <c r="BB103" s="207">
        <f>INDEX($A$102:$H$115,MATCH($L103,$B$102:$B$115,0),MATCH($AO$101,$A$102:$H$102,0))*고양시_Modal_split!P$3 * 0.01</f>
        <v>21.283092179869328</v>
      </c>
      <c r="BC103" s="207">
        <f>INDEX($A$102:$H$115,MATCH($L103,$B$102:$B$115,0),MATCH($BC$101,$A$102:$H$102,0))*고양시_Modal_split!C$3 * 0.01</f>
        <v>1.6160720841663427E-4</v>
      </c>
      <c r="BD103" s="207">
        <f>INDEX($A$102:$H$115,MATCH($L103,$B$102:$B$115,0),MATCH($BC$101,$A$102:$H$102,0))*고양시_Modal_split!D$3 * 0.01</f>
        <v>2.7144239327979679E-2</v>
      </c>
      <c r="BE103" s="207">
        <f>INDEX($A$102:$H$115,MATCH($L103,$B$102:$B$115,0),MATCH($BC$101,$A$102:$H$102,0))*고양시_Modal_split!E$3 * 0.01</f>
        <v>3.2840893424666037E-3</v>
      </c>
      <c r="BF103" s="207">
        <f>INDEX($A$102:$H$115,MATCH($L103,$B$102:$B$115,0),MATCH($BC$101,$A$102:$H$102,0))*고양시_Modal_split!F$3 * 0.01</f>
        <v>5.2926360756447724E-3</v>
      </c>
      <c r="BG103" s="207">
        <f>INDEX($A$102:$H$115,MATCH($L103,$B$102:$B$115,0),MATCH($BC$101,$A$102:$H$102,0))*고양시_Modal_split!G$3 * 0.01</f>
        <v>5.3099511336894111E-4</v>
      </c>
      <c r="BH103" s="207">
        <f>INDEX($A$102:$H$115,MATCH($L103,$B$102:$B$115,0),MATCH($BC$101,$A$102:$H$102,0))*고양시_Modal_split!H$3 * 0.01</f>
        <v>5.7716860148797949E-6</v>
      </c>
      <c r="BI103" s="207">
        <f>INDEX($A$102:$H$115,MATCH($L103,$B$102:$B$115,0),MATCH($BC$101,$A$102:$H$102,0))*고양시_Modal_split!I$3 * 0.01</f>
        <v>1.6045287121365832E-3</v>
      </c>
      <c r="BJ103" s="207">
        <f>INDEX($A$102:$H$115,MATCH($L103,$B$102:$B$115,0),MATCH($BC$101,$A$102:$H$102,0))*고양시_Modal_split!J$3 * 0.01</f>
        <v>1.75690122292941E-2</v>
      </c>
      <c r="BK103" s="207">
        <f>INDEX($A$102:$H$115,MATCH($L103,$B$102:$B$115,0),MATCH($BC$101,$A$102:$H$102,0))*고양시_Modal_split!K$3 * 0.01</f>
        <v>8.6575290223196933E-5</v>
      </c>
      <c r="BL103" s="207">
        <f>INDEX($A$102:$H$115,MATCH($L103,$B$102:$B$115,0),MATCH($BC$101,$A$102:$H$102,0))*고양시_Modal_split!L$3 * 0.01</f>
        <v>1.7430491764936981E-3</v>
      </c>
      <c r="BM103" s="207">
        <f>INDEX($A$102:$H$115,MATCH($L103,$B$102:$B$115,0),MATCH($BC$101,$A$102:$H$102,0))*고양시_Modal_split!M$3 * 0.01</f>
        <v>1.3274877834223528E-4</v>
      </c>
      <c r="BN103" s="207">
        <f>INDEX($A$102:$H$115,MATCH($L103,$B$102:$B$115,0),MATCH($BC$101,$A$102:$H$102,0))*고양시_Modal_split!N$3 * 0.01</f>
        <v>5.771686014879796E-5</v>
      </c>
      <c r="BO103" s="207">
        <f>INDEX($A$102:$H$115,MATCH($L103,$B$102:$B$115,0),MATCH($BC$101,$A$102:$H$102,0))*고양시_Modal_split!O$3 * 0.01</f>
        <v>1.0389034826783632E-4</v>
      </c>
      <c r="BP103" s="207">
        <f>INDEX($A$102:$H$115,MATCH($L103,$B$102:$B$115,0),MATCH($BC$101,$A$102:$H$102,0))*고양시_Modal_split!P$3 * 0.01</f>
        <v>5.7716860148797962E-2</v>
      </c>
      <c r="BQ103" s="207">
        <f>INDEX($A$102:$H$115,MATCH($L103,$B$102:$B$115,0),MATCH($BQ$101,$A$102:$H$102,0))*고양시_Modal_split!C$3 * 0.01</f>
        <v>4.5788709051379847E-4</v>
      </c>
      <c r="BR103" s="207">
        <f>INDEX($A$102:$H$115,MATCH($L103,$B$102:$B$115,0),MATCH($BQ$101,$A$102:$H$102,0))*고양시_Modal_split!D$3 * 0.01</f>
        <v>7.6908678095942665E-2</v>
      </c>
      <c r="BS103" s="207">
        <f>INDEX($A$102:$H$115,MATCH($L103,$B$102:$B$115,0),MATCH($BQ$101,$A$102:$H$102,0))*고양시_Modal_split!E$3 * 0.01</f>
        <v>9.3049198036554044E-3</v>
      </c>
      <c r="BT103" s="207">
        <f>INDEX($A$102:$H$115,MATCH($L103,$B$102:$B$115,0),MATCH($BQ$101,$A$102:$H$102,0))*고양시_Modal_split!F$3 * 0.01</f>
        <v>1.4995802214326901E-2</v>
      </c>
      <c r="BU103" s="207">
        <f>INDEX($A$102:$H$115,MATCH($L103,$B$102:$B$115,0),MATCH($BQ$101,$A$102:$H$102,0))*고양시_Modal_split!G$3 * 0.01</f>
        <v>1.5044861545453379E-3</v>
      </c>
      <c r="BV103" s="207">
        <f>INDEX($A$102:$H$115,MATCH($L103,$B$102:$B$115,0),MATCH($BQ$101,$A$102:$H$102,0))*고양시_Modal_split!H$3 * 0.01</f>
        <v>1.6353110375492804E-5</v>
      </c>
      <c r="BW103" s="207">
        <f>INDEX($A$102:$H$115,MATCH($L103,$B$102:$B$115,0),MATCH($BQ$101,$A$102:$H$102,0))*고양시_Modal_split!I$3 * 0.01</f>
        <v>4.5461646843869994E-3</v>
      </c>
      <c r="BX103" s="207">
        <f>INDEX($A$102:$H$115,MATCH($L103,$B$102:$B$115,0),MATCH($BQ$101,$A$102:$H$102,0))*고양시_Modal_split!J$3 * 0.01</f>
        <v>4.9778867983000102E-2</v>
      </c>
      <c r="BY103" s="207">
        <f>INDEX($A$102:$H$115,MATCH($L103,$B$102:$B$115,0),MATCH($BQ$101,$A$102:$H$102,0))*고양시_Modal_split!K$3 * 0.01</f>
        <v>2.4529665563239206E-4</v>
      </c>
      <c r="BZ103" s="207">
        <f>INDEX($A$102:$H$115,MATCH($L103,$B$102:$B$115,0),MATCH($BQ$101,$A$102:$H$102,0))*고양시_Modal_split!L$3 * 0.01</f>
        <v>4.9386393333988275E-3</v>
      </c>
      <c r="CA103" s="207">
        <f>INDEX($A$102:$H$115,MATCH($L103,$B$102:$B$115,0),MATCH($BQ$101,$A$102:$H$102,0))*고양시_Modal_split!M$3 * 0.01</f>
        <v>3.7612153863633447E-4</v>
      </c>
      <c r="CB103" s="207">
        <f>INDEX($A$102:$H$115,MATCH($L103,$B$102:$B$115,0),MATCH($BQ$101,$A$102:$H$102,0))*고양시_Modal_split!N$3 * 0.01</f>
        <v>1.6353110375492803E-4</v>
      </c>
      <c r="CC103" s="207">
        <f>INDEX($A$102:$H$115,MATCH($L103,$B$102:$B$115,0),MATCH($BQ$101,$A$102:$H$102,0))*고양시_Modal_split!O$3 * 0.01</f>
        <v>2.9435598675887047E-4</v>
      </c>
      <c r="CD103" s="207">
        <f>INDEX($A$102:$H$115,MATCH($L103,$B$102:$B$115,0),MATCH($BQ$101,$A$102:$H$102,0))*고양시_Modal_split!P$3 * 0.01</f>
        <v>0.16353110375492805</v>
      </c>
      <c r="CE103" s="304">
        <f>M103+AA103+AO103+BC103+BQ103</f>
        <v>1.5775422322263495</v>
      </c>
      <c r="CF103" s="304">
        <f t="shared" ref="CF103:CR115" si="47">N103+AB103+AP103+BD103+BR103</f>
        <v>264.97075422001859</v>
      </c>
      <c r="CG103" s="304">
        <f t="shared" si="47"/>
        <v>32.057911790599739</v>
      </c>
      <c r="CH103" s="304">
        <f t="shared" si="47"/>
        <v>51.664508105412935</v>
      </c>
      <c r="CI103" s="304">
        <f t="shared" si="47"/>
        <v>5.1833530487437187</v>
      </c>
      <c r="CJ103" s="304">
        <f t="shared" si="47"/>
        <v>5.6340794008083915E-2</v>
      </c>
      <c r="CK103" s="304">
        <f t="shared" si="47"/>
        <v>15.662740734247324</v>
      </c>
      <c r="CL103" s="304">
        <f t="shared" si="47"/>
        <v>171.50137696060744</v>
      </c>
      <c r="CM103" s="304">
        <f t="shared" si="47"/>
        <v>0.84511191012125852</v>
      </c>
      <c r="CN103" s="304">
        <f t="shared" si="47"/>
        <v>17.014919790441343</v>
      </c>
      <c r="CO103" s="304">
        <f t="shared" si="47"/>
        <v>1.2958382621859297</v>
      </c>
      <c r="CP103" s="304">
        <f t="shared" si="47"/>
        <v>0.56340794008083905</v>
      </c>
      <c r="CQ103" s="304">
        <f t="shared" si="47"/>
        <v>1.0141342921455103</v>
      </c>
      <c r="CR103" s="304">
        <f t="shared" si="47"/>
        <v>563.40794008083913</v>
      </c>
      <c r="CS103" s="305">
        <f>H103-CR103</f>
        <v>0</v>
      </c>
      <c r="CV103" s="265"/>
      <c r="CW103" s="265" t="s">
        <v>12</v>
      </c>
      <c r="CX103" s="267">
        <f>INDEX($M$101:$Z$115,MATCH($CW103,$L$101:$L$115,0),MATCH(CX$102,$M$102:$Z$102,0))/INDEX(고양시_재차인원!$D$4:$H$35,MATCH("고양시",고양시_재차인원!$B$4:$B$35,0),MATCH($CX$101,고양시_재차인원!$D$4:$H$4,0))</f>
        <v>25.928403608080639</v>
      </c>
      <c r="CY103" s="267">
        <f>INDEX($M$101:$Z$115,MATCH($CW103,$L$101:$L$115,0),MATCH(CY$102,$M$102:$Z$102,0))/INDEX(고양시_재차인원!$K$4:$O$20,MATCH("경기도",고양시_재차인원!$K$4:$K$20,0),MATCH(CY$102,고양시_재차인원!$K$4:$O$4,0))</f>
        <v>2.1447523752178701E-4</v>
      </c>
      <c r="CZ103" s="267">
        <f>INDEX($M$101:$Z$115,MATCH($CW103,$L$101:$L$115,0),MATCH(CZ$102,$M$102:$Z$102,0))/INDEX(고양시_재차인원!$K$4:$O$20,MATCH("경기도",고양시_재차인원!$K$4:$K$20,0),MATCH(CZ$102,고양시_재차인원!$K$4:$O$4,0))</f>
        <v>5.962411603105678E-2</v>
      </c>
      <c r="DA103" s="267">
        <f>INDEX($M$101:$Z$115,MATCH($CW103,$L$101:$L$115,0),MATCH(DA$102,$M$102:$Z$102,0))/INDEX(고양시_재차인원!$D$4:$H$35,MATCH("고양시",고양시_재차인원!$B$4:$B$35,0),MATCH($CX$101,고양시_재차인원!$D$4:$H$4,0))</f>
        <v>1.6649750987965879</v>
      </c>
      <c r="DB103" s="267">
        <f>INDEX($AA$101:$AN$115,MATCH($CW103,$L$101:$L$115,0),MATCH(DB$102,$AA$102:$AN$102,0))/INDEX(고양시_재차인원!$D$4:$H$35,MATCH("고양시",고양시_재차인원!$B$4:$B$35,0),MATCH($DB$101,고양시_재차인원!$D$4:$H$4,0))</f>
        <v>160.15422057400841</v>
      </c>
      <c r="DC103" s="267">
        <f>INDEX($AA$101:$AN$115,MATCH($CW103,$L$101:$L$115,0),MATCH(DC$102,$AA$102:$AN$102,0))/INDEX(고양시_재차인원!$K$4:$O$20,MATCH("경기도",고양시_재차인원!$K$4:$K$20,0),MATCH(DC$102,고양시_재차인원!$K$4:$O$4,0))</f>
        <v>1.6677880481227635E-3</v>
      </c>
      <c r="DD103" s="267">
        <f>INDEX($AA$101:$AN$115,MATCH($CW103,$L$101:$L$115,0),MATCH(DD$102,$AA$102:$AN$102,0))/INDEX(고양시_재차인원!$K$4:$O$20,MATCH("경기도",고양시_재차인원!$K$4:$K$20,0),MATCH(DD$102,고양시_재차인원!$K$4:$O$4,0))</f>
        <v>0.46364507737812821</v>
      </c>
      <c r="DE103" s="267">
        <f>INDEX($AA$101:$AN$115,MATCH($CW103,$L$101:$L$115,0),MATCH(DE$102,$AA$102:$AN$102,0))/INDEX(고양시_재차인원!$D$4:$H$35,MATCH("고양시",고양시_재차인원!$B$4:$B$35,0),MATCH($DB$101,고양시_재차인원!$D$4:$H$4,0))</f>
        <v>10.284196175494481</v>
      </c>
      <c r="DF103" s="267">
        <f>INDEX($AO$101:$BB$115,MATCH($CW103,$L$101:$L$115,0),MATCH(DF$102,$AO$102:$BB$102,0))/INDEX(고양시_재차인원!$D$4:$H$35,MATCH("고양시",고양시_재차인원!$B$4:$B$35,0),MATCH($DF$101,고양시_재차인원!$D$4:$H$4,0))</f>
        <v>7.6995678863019581</v>
      </c>
      <c r="DG103" s="267">
        <f>INDEX($AO$101:$BB$115,MATCH($CW103,$L$101:$L$115,0),MATCH(DG$102,$AO$102:$BB$102,0))/INDEX(고양시_재차인원!$K$4:$O$20,MATCH("경기도",고양시_재차인원!$K$4:$K$20,0),MATCH(DG$102,고양시_재차인원!$K$4:$O$4,0))</f>
        <v>7.3925294129452342E-5</v>
      </c>
      <c r="DH103" s="267">
        <f>INDEX($AO$101:$BB$115,MATCH($CW103,$L$101:$L$115,0),MATCH(DH$102,$AO$102:$BB$102,0))/INDEX(고양시_재차인원!$K$4:$O$20,MATCH("경기도",고양시_재차인원!$K$4:$K$20,0),MATCH(DH$102,고양시_재차인원!$K$4:$O$4,0))</f>
        <v>2.0551231767987749E-2</v>
      </c>
      <c r="DI103" s="267">
        <f>INDEX($AO$101:$BB$115,MATCH($CW103,$L$101:$L$115,0),MATCH(DI$102,$AO$102:$BB$102,0))/INDEX(고양시_재차인원!$D$4:$H$35,MATCH("고양시",고양시_재차인원!$B$4:$B$35,0),MATCH($DF$101,고양시_재차인원!$D$4:$H$4,0))</f>
        <v>0.4944226029477336</v>
      </c>
      <c r="DJ103" s="267">
        <f>INDEX($BC$101:$BP$115,MATCH($CW103,$L$101:$L$115,0),MATCH(DJ$102,$BC$102:$BP$102,0))/INDEX(고양시_재차인원!$D$4:$H$35,MATCH("고양시",고양시_재차인원!$B$4:$B$35,0),MATCH($DJ$101,고양시_재차인원!$D$4:$H$4,0))</f>
        <v>1.9958999505867409E-2</v>
      </c>
      <c r="DK103" s="267">
        <f>INDEX($BC$101:$BP$115,MATCH($CW103,$L$101:$L$115,0),MATCH(DK$102,$BC$102:$BP$102,0))/INDEX(고양시_재차인원!$K$4:$O$20,MATCH("경기도",고양시_재차인원!$K$4:$K$20,0),MATCH(DK$102,고양시_재차인원!$K$4:$O$4,0))</f>
        <v>2.0047537391037844E-7</v>
      </c>
      <c r="DL103" s="267">
        <f>INDEX($BC$101:$BP$115,MATCH($CW103,$L$101:$L$115,0),MATCH(DL$102,$BC$102:$BP$102,0))/INDEX(고양시_재차인원!$K$4:$O$20,MATCH("경기도",고양시_재차인원!$K$4:$K$20,0),MATCH(DL$102,고양시_재차인원!$K$4:$O$4,0))</f>
        <v>5.573215394708521E-5</v>
      </c>
      <c r="DM103" s="267">
        <f>INDEX($BC$101:$BP$115,MATCH($CW103,$L$101:$L$115,0),MATCH(DM$102,$BC$102:$BP$102,0))/INDEX(고양시_재차인원!$D$4:$H$35,MATCH("고양시",고양시_재차인원!$B$4:$B$35,0),MATCH($DJ$101,고양시_재차인원!$D$4:$H$4,0))</f>
        <v>1.2816538062453663E-3</v>
      </c>
      <c r="DN103" s="267">
        <f>INDEX($BQ$101:$CD$115,MATCH($CW103,$L$101:$L$115,0),MATCH(DN$102,$BQ$102:$CD$102,0))/INDEX(고양시_재차인원!$D$4:$H$35,MATCH("고양시",고양시_재차인원!$B$4:$B$35,0),MATCH($DN$101,고양시_재차인원!$D$4:$H$4,0))</f>
        <v>6.1038633409478307E-2</v>
      </c>
      <c r="DO103" s="267">
        <f>INDEX($BQ$101:$CD$115,MATCH($CW103,$L$101:$L$115,0),MATCH(DO$102,$BQ$102:$CD$102,0))/INDEX(고양시_재차인원!$K$4:$O$20,MATCH("경기도",고양시_재차인원!$K$4:$K$20,0),MATCH(DO$102,고양시_재차인원!$K$4:$O$4,0))</f>
        <v>5.6801355941274069E-7</v>
      </c>
      <c r="DP103" s="267">
        <f>INDEX($BQ$101:$CD$115,MATCH($CW103,$L$101:$L$115,0),MATCH(DP$102,$BQ$102:$CD$102,0))/INDEX(고양시_재차인원!$K$4:$O$20,MATCH("경기도",고양시_재차인원!$K$4:$K$20,0),MATCH(DP$102,고양시_재차인원!$K$4:$O$4,0))</f>
        <v>1.579077695167419E-4</v>
      </c>
      <c r="DQ103" s="267">
        <f>INDEX($BQ$101:$CD$115,MATCH($CW103,$L$101:$L$115,0),MATCH(DQ$102,$BQ$102:$CD$102,0))/INDEX(고양시_재차인원!$D$4:$H$35,MATCH("고양시",고양시_재차인원!$B$4:$B$35,0),MATCH($DN$101,고양시_재차인원!$D$4:$H$4,0))</f>
        <v>3.9195550265070057E-3</v>
      </c>
      <c r="DR103" s="270">
        <f>CX103+DB103+DF103+DJ103+DN103</f>
        <v>193.86318970130634</v>
      </c>
      <c r="DS103" s="270">
        <f t="shared" ref="DS103:DU115" si="48">CY103+DC103+DG103+DK103+DO103</f>
        <v>1.9569570687073259E-3</v>
      </c>
      <c r="DT103" s="270">
        <f t="shared" si="48"/>
        <v>0.54403406510063657</v>
      </c>
      <c r="DU103" s="270">
        <f t="shared" si="48"/>
        <v>12.448795086071552</v>
      </c>
      <c r="DW103" s="278"/>
      <c r="DX103" s="278" t="s">
        <v>12</v>
      </c>
      <c r="DY103" s="281">
        <f>DR103+DU103</f>
        <v>206.3119847873779</v>
      </c>
      <c r="DZ103" s="281">
        <f>DS103+DT103</f>
        <v>0.54599102216934392</v>
      </c>
      <c r="EB103" s="278"/>
      <c r="EC103" s="278" t="s">
        <v>12</v>
      </c>
      <c r="ED103" s="281">
        <f>DY103</f>
        <v>206.3119847873779</v>
      </c>
      <c r="EE103" s="281">
        <f t="shared" ref="EE103:EE115" si="49">DZ103</f>
        <v>0.54599102216934392</v>
      </c>
      <c r="EL103" s="306" t="s">
        <v>12</v>
      </c>
      <c r="EM103" s="306" t="s">
        <v>567</v>
      </c>
      <c r="EN103" s="306">
        <v>8014.2473</v>
      </c>
      <c r="EO103" s="306">
        <v>0.11966025175817722</v>
      </c>
      <c r="EP103" s="307">
        <v>849101</v>
      </c>
      <c r="EQ103" s="308">
        <f>VLOOKUP($EL103,$EC$102:$EE$114,2,FALSE)*$EO103</f>
        <v>24.687344040386868</v>
      </c>
      <c r="ER103" s="308">
        <f>VLOOKUP($EL103,$EC$102:$EE$114,3,FALSE)*$EO103</f>
        <v>6.5333423170488222E-2</v>
      </c>
      <c r="ET103" s="420" t="s">
        <v>12</v>
      </c>
      <c r="EU103" s="420" t="s">
        <v>567</v>
      </c>
      <c r="EV103" s="420">
        <v>8014.2473</v>
      </c>
      <c r="EW103" s="420">
        <v>0.11966025175817722</v>
      </c>
      <c r="EX103" s="421">
        <v>849101</v>
      </c>
      <c r="EY103" s="422">
        <f>EQ103*$AV$11*(1-$AZ$7)</f>
        <v>23.983754735235845</v>
      </c>
      <c r="EZ103" s="422">
        <f>ER103*AV$11*(1-$AZ$7)</f>
        <v>6.3471420610129309E-2</v>
      </c>
      <c r="FA103">
        <v>0</v>
      </c>
      <c r="FD103" s="306" t="s">
        <v>12</v>
      </c>
      <c r="FE103" s="306" t="s">
        <v>567</v>
      </c>
      <c r="FF103" s="306">
        <v>8014.2473</v>
      </c>
      <c r="FG103" s="306">
        <v>0.11966025175817722</v>
      </c>
      <c r="FH103" s="307">
        <v>849101</v>
      </c>
      <c r="FI103" s="308">
        <f>EY103*$FB$95</f>
        <v>23.983754735235845</v>
      </c>
      <c r="FJ103" s="308">
        <f t="shared" ref="FJ103:FJ136" si="50">EZ103*$FB$95</f>
        <v>6.3471420610129309E-2</v>
      </c>
      <c r="FL103" s="101"/>
      <c r="FM103" s="101"/>
      <c r="FN103" s="101"/>
      <c r="FO103" s="101"/>
      <c r="FP103" s="374"/>
      <c r="FQ103" s="404"/>
      <c r="FR103" s="404"/>
    </row>
    <row r="104" spans="1:174" ht="25">
      <c r="A104" s="205"/>
      <c r="B104" s="205" t="s">
        <v>667</v>
      </c>
      <c r="C104" s="400">
        <f>$AB62*KTDB_TripDistribution_2035!L$12 * (1+KTDB_발생량도착량_증가율!$C$8*2) * (1+KTDB_발생량도착량_증가율!$D$7*5) * (1+KTDB_발생량도착량_증가율!$E$7*5)</f>
        <v>1344.7151742849524</v>
      </c>
      <c r="D104" s="400">
        <f>$AB62*KTDB_TripDistribution_2035!M$12 * (1+KTDB_발생량도착량_증가율!$C$8*2) * (1+KTDB_발생량도착량_증가율!$D$7*5) * (1+KTDB_발생량도착량_증가율!$E$7*5)</f>
        <v>10456.68451852836</v>
      </c>
      <c r="E104" s="400">
        <f>$AB62*KTDB_TripDistribution_2035!N$12 * (1+KTDB_발생량도착량_증가율!$C$8*2) * (1+KTDB_발생량도착량_증가율!$D$7*5) * (1+KTDB_발생량도착량_증가율!$E$7*5)</f>
        <v>463.49623354190095</v>
      </c>
      <c r="F104" s="400">
        <f>$AB62*KTDB_TripDistribution_2035!O$12 * (1+KTDB_발생량도착량_증가율!$C$8*2) * (1+KTDB_발생량도착량_증가율!$D$7*5) * (1+KTDB_발생량도착량_증가율!$E$7*5)</f>
        <v>1.2569389384187097</v>
      </c>
      <c r="G104" s="400">
        <f>$AB62*KTDB_TripDistribution_2035!P$12 * (1+KTDB_발생량도착량_증가율!$C$8*2) * (1+KTDB_발생량도착량_증가율!$D$7*5) * (1+KTDB_발생량도착량_증가율!$E$7*5)</f>
        <v>3.5613269921863546</v>
      </c>
      <c r="H104" s="400">
        <f>$AB62*KTDB_TripDistribution_2035!Q$12 * (1+KTDB_발생량도착량_증가율!$C$8*2) * (1+KTDB_발생량도착량_증가율!$D$7*5) * (1+KTDB_발생량도착량_증가율!$E$7*5)</f>
        <v>12269.714192285815</v>
      </c>
      <c r="J104" s="230">
        <f t="shared" si="46"/>
        <v>12269.714192285819</v>
      </c>
      <c r="K104" s="206"/>
      <c r="L104" s="206" t="s">
        <v>667</v>
      </c>
      <c r="M104" s="206">
        <f>INDEX($A$102:$H$115,MATCH($L104,$B$102:$B$115,0),MATCH($M$101,$A$102:$H$102,0))*고양시_Modal_split!C$3 * 0.01</f>
        <v>3.7652024879978661</v>
      </c>
      <c r="N104" s="206">
        <f>INDEX($A$102:$H$115,MATCH($L104,$B$102:$B$115,0),MATCH($M$101,$A$102:$H$102,0))*고양시_Modal_split!D$3 * 0.01</f>
        <v>632.41954646621321</v>
      </c>
      <c r="O104" s="206">
        <f>INDEX($A$102:$H$115,MATCH($L104,$B$102:$B$115,0),MATCH($M$101,$A$102:$H$102,0))*고양시_Modal_split!E$3 * 0.01</f>
        <v>76.514293416813786</v>
      </c>
      <c r="P104" s="206">
        <f>INDEX($A$102:$H$115,MATCH($L104,$B$102:$B$115,0),MATCH($M$101,$A$102:$H$102,0))*고양시_Modal_split!F$3 * 0.01</f>
        <v>123.31038148193012</v>
      </c>
      <c r="Q104" s="206">
        <f>INDEX($A$102:$H$115,MATCH($L104,$B$102:$B$115,0),MATCH($M$101,$A$102:$H$102,0))*고양시_Modal_split!G$3 * 0.01</f>
        <v>12.371379603421561</v>
      </c>
      <c r="R104" s="206">
        <f>INDEX($A$102:$H$115,MATCH($L104,$B$102:$B$115,0),MATCH($M$101,$A$102:$H$102,0))*고양시_Modal_split!H$3 * 0.01</f>
        <v>0.13447151742849525</v>
      </c>
      <c r="S104" s="206">
        <f>INDEX($A$102:$H$115,MATCH($L104,$B$102:$B$115,0),MATCH($M$101,$A$102:$H$102,0))*고양시_Modal_split!I$3 * 0.01</f>
        <v>37.383081845121673</v>
      </c>
      <c r="T104" s="206">
        <f>INDEX($A$102:$H$115,MATCH($L104,$B$102:$B$115,0),MATCH($M$101,$A$102:$H$102,0))*고양시_Modal_split!J$3 * 0.01</f>
        <v>409.33129905233955</v>
      </c>
      <c r="U104" s="206">
        <f>INDEX($A$102:$H$115,MATCH($L104,$B$102:$B$115,0),MATCH($M$101,$A$102:$H$102,0))*고양시_Modal_split!K$3 * 0.01</f>
        <v>2.0170727614274284</v>
      </c>
      <c r="V104" s="206">
        <f>INDEX($A$102:$H$115,MATCH($L104,$B$102:$B$115,0),MATCH($M$101,$A$102:$H$102,0))*고양시_Modal_split!L$3 * 0.01</f>
        <v>40.610398263405557</v>
      </c>
      <c r="W104" s="206">
        <f>INDEX($A$102:$H$115,MATCH($L104,$B$102:$B$115,0),MATCH($M$101,$A$102:$H$102,0))*고양시_Modal_split!M$3 * 0.01</f>
        <v>3.0928449008553902</v>
      </c>
      <c r="X104" s="206">
        <f>INDEX($A$102:$H$115,MATCH($L104,$B$102:$B$115,0),MATCH($M$101,$A$102:$H$102,0))*고양시_Modal_split!N$3 * 0.01</f>
        <v>1.3447151742849526</v>
      </c>
      <c r="Y104" s="206">
        <f>INDEX($A$102:$H$115,MATCH($L104,$B$102:$B$115,0),MATCH($M$101,$A$102:$H$102,0))*고양시_Modal_split!O$3 * 0.01</f>
        <v>2.4204873137129144</v>
      </c>
      <c r="Z104" s="209">
        <f>INDEX($A$102:$H$115,MATCH($L104,$B$102:$B$115,0),MATCH($M$101,$A$102:$H$102,0))*고양시_Modal_split!P$3 * 0.01</f>
        <v>1344.7151742849524</v>
      </c>
      <c r="AA104" s="207">
        <f>INDEX($A$102:$H$115,MATCH($L104,$B$102:$B$115,0),MATCH($AA$101,$A$102:$H$102,0))*고양시_Modal_split!C$3 * 0.01</f>
        <v>29.278716651879403</v>
      </c>
      <c r="AB104" s="207">
        <f>INDEX($A$102:$H$115,MATCH($L104,$B$102:$B$115,0),MATCH($AA$101,$A$102:$H$102,0))*고양시_Modal_split!D$3 * 0.01</f>
        <v>4917.778729063888</v>
      </c>
      <c r="AC104" s="207">
        <f>INDEX($A$102:$H$115,MATCH($L104,$B$102:$B$115,0),MATCH($AA$101,$A$102:$H$102,0))*고양시_Modal_split!E$3 * 0.01</f>
        <v>594.98534910426372</v>
      </c>
      <c r="AD104" s="207">
        <f>INDEX($A$102:$H$115,MATCH($L104,$B$102:$B$115,0),MATCH($AA$101,$A$102:$H$102,0))*고양시_Modal_split!F$3 * 0.01</f>
        <v>958.87797034905066</v>
      </c>
      <c r="AE104" s="207">
        <f>INDEX($A$102:$H$115,MATCH($L104,$B$102:$B$115,0),MATCH($AA$101,$A$102:$H$102,0))*고양시_Modal_split!G$3 * 0.01</f>
        <v>96.201497570460901</v>
      </c>
      <c r="AF104" s="207">
        <f>INDEX($A$102:$H$115,MATCH($L104,$B$102:$B$115,0),MATCH($AA$101,$A$102:$H$102,0))*고양시_Modal_split!H$3 * 0.01</f>
        <v>1.0456684518528361</v>
      </c>
      <c r="AG104" s="207">
        <f>INDEX($A$102:$H$115,MATCH($L104,$B$102:$B$115,0),MATCH($AA$101,$A$102:$H$102,0))*고양시_Modal_split!I$3 * 0.01</f>
        <v>290.69582961508843</v>
      </c>
      <c r="AH104" s="207">
        <f>INDEX($A$102:$H$115,MATCH($L104,$B$102:$B$115,0),MATCH($AA$101,$A$102:$H$102,0))*고양시_Modal_split!J$3 * 0.01</f>
        <v>3183.0147674400332</v>
      </c>
      <c r="AI104" s="207">
        <f>INDEX($A$102:$H$115,MATCH($L104,$B$102:$B$115,0),MATCH($AA$101,$A$102:$H$102,0))*고양시_Modal_split!K$3 * 0.01</f>
        <v>15.685026777792539</v>
      </c>
      <c r="AJ104" s="207">
        <f>INDEX($A$102:$H$115,MATCH($L104,$B$102:$B$115,0),MATCH($AA$101,$A$102:$H$102,0))*고양시_Modal_split!L$3 * 0.01</f>
        <v>315.79187245955649</v>
      </c>
      <c r="AK104" s="207">
        <f>INDEX($A$102:$H$115,MATCH($L104,$B$102:$B$115,0),MATCH($AA$101,$A$102:$H$102,0))*고양시_Modal_split!M$3 * 0.01</f>
        <v>24.050374392615225</v>
      </c>
      <c r="AL104" s="207">
        <f>INDEX($A$102:$H$115,MATCH($L104,$B$102:$B$115,0),MATCH($AA$101,$A$102:$H$102,0))*고양시_Modal_split!N$3 * 0.01</f>
        <v>10.456684518528361</v>
      </c>
      <c r="AM104" s="207">
        <f>INDEX($A$102:$H$115,MATCH($L104,$B$102:$B$115,0),MATCH($AA$101,$A$102:$H$102,0))*고양시_Modal_split!O$3 * 0.01</f>
        <v>18.822032133351048</v>
      </c>
      <c r="AN104" s="207">
        <f>INDEX($A$102:$H$115,MATCH($L104,$B$102:$B$115,0),MATCH($AA$101,$A$102:$H$102,0))*고양시_Modal_split!P$3 * 0.01</f>
        <v>10456.68451852836</v>
      </c>
      <c r="AO104" s="303">
        <f>INDEX($A$102:$H$115,MATCH($L104,$B$102:$B$115,0),MATCH($AO$101,$A$102:$H$102,0))*고양시_Modal_split!C$3 * 0.01</f>
        <v>1.2977894539173227</v>
      </c>
      <c r="AP104" s="303">
        <f>INDEX($A$102:$H$115,MATCH($L104,$B$102:$B$115,0),MATCH($AO$101,$A$102:$H$102,0))*고양시_Modal_split!D$3 * 0.01</f>
        <v>217.98227863475606</v>
      </c>
      <c r="AQ104" s="303">
        <f>INDEX($A$102:$H$115,MATCH($L104,$B$102:$B$115,0),MATCH($AO$101,$A$102:$H$102,0))*고양시_Modal_split!E$3 * 0.01</f>
        <v>26.372935688534163</v>
      </c>
      <c r="AR104" s="303">
        <f>INDEX($A$102:$H$115,MATCH($L104,$B$102:$B$115,0),MATCH($AO$101,$A$102:$H$102,0))*고양시_Modal_split!F$3 * 0.01</f>
        <v>42.502604615792315</v>
      </c>
      <c r="AS104" s="303">
        <f>INDEX($A$102:$H$115,MATCH($L104,$B$102:$B$115,0),MATCH($AO$101,$A$102:$H$102,0))*고양시_Modal_split!G$3 * 0.01</f>
        <v>4.2641653485854887</v>
      </c>
      <c r="AT104" s="303">
        <f>INDEX($A$102:$H$115,MATCH($L104,$B$102:$B$115,0),MATCH($AO$101,$A$102:$H$102,0))*고양시_Modal_split!H$3 * 0.01</f>
        <v>4.63496233541901E-2</v>
      </c>
      <c r="AU104" s="303">
        <f>INDEX($A$102:$H$115,MATCH($L104,$B$102:$B$115,0),MATCH($AO$101,$A$102:$H$102,0))*고양시_Modal_split!I$3 * 0.01</f>
        <v>12.885195292464847</v>
      </c>
      <c r="AV104" s="303">
        <f>INDEX($A$102:$H$115,MATCH($L104,$B$102:$B$115,0),MATCH($AO$101,$A$102:$H$102,0))*고양시_Modal_split!J$3 * 0.01</f>
        <v>141.08825349015467</v>
      </c>
      <c r="AW104" s="303">
        <f>INDEX($A$102:$H$115,MATCH($L104,$B$102:$B$115,0),MATCH($AO$101,$A$102:$H$102,0))*고양시_Modal_split!K$3 * 0.01</f>
        <v>0.69524435031285137</v>
      </c>
      <c r="AX104" s="303">
        <f>INDEX($A$102:$H$115,MATCH($L104,$B$102:$B$115,0),MATCH($AO$101,$A$102:$H$102,0))*고양시_Modal_split!L$3 * 0.01</f>
        <v>13.997586252965409</v>
      </c>
      <c r="AY104" s="303">
        <f>INDEX($A$102:$H$115,MATCH($L104,$B$102:$B$115,0),MATCH($AO$101,$A$102:$H$102,0))*고양시_Modal_split!M$3 * 0.01</f>
        <v>1.0660413371463722</v>
      </c>
      <c r="AZ104" s="303">
        <f>INDEX($A$102:$H$115,MATCH($L104,$B$102:$B$115,0),MATCH($AO$101,$A$102:$H$102,0))*고양시_Modal_split!N$3 * 0.01</f>
        <v>0.463496233541901</v>
      </c>
      <c r="BA104" s="207">
        <f>INDEX($A$102:$H$115,MATCH($L104,$B$102:$B$115,0),MATCH($AO$101,$A$102:$H$102,0))*고양시_Modal_split!O$3 * 0.01</f>
        <v>0.83429322037542164</v>
      </c>
      <c r="BB104" s="207">
        <f>INDEX($A$102:$H$115,MATCH($L104,$B$102:$B$115,0),MATCH($AO$101,$A$102:$H$102,0))*고양시_Modal_split!P$3 * 0.01</f>
        <v>463.49623354190095</v>
      </c>
      <c r="BC104" s="207">
        <f>INDEX($A$102:$H$115,MATCH($L104,$B$102:$B$115,0),MATCH($BC$101,$A$102:$H$102,0))*고양시_Modal_split!C$3 * 0.01</f>
        <v>3.5194290275723872E-3</v>
      </c>
      <c r="BD104" s="207">
        <f>INDEX($A$102:$H$115,MATCH($L104,$B$102:$B$115,0),MATCH($BC$101,$A$102:$H$102,0))*고양시_Modal_split!D$3 * 0.01</f>
        <v>0.5911383827383192</v>
      </c>
      <c r="BE104" s="207">
        <f>INDEX($A$102:$H$115,MATCH($L104,$B$102:$B$115,0),MATCH($BC$101,$A$102:$H$102,0))*고양시_Modal_split!E$3 * 0.01</f>
        <v>7.1519825596024586E-2</v>
      </c>
      <c r="BF104" s="207">
        <f>INDEX($A$102:$H$115,MATCH($L104,$B$102:$B$115,0),MATCH($BC$101,$A$102:$H$102,0))*고양시_Modal_split!F$3 * 0.01</f>
        <v>0.11526130065299568</v>
      </c>
      <c r="BG104" s="207">
        <f>INDEX($A$102:$H$115,MATCH($L104,$B$102:$B$115,0),MATCH($BC$101,$A$102:$H$102,0))*고양시_Modal_split!G$3 * 0.01</f>
        <v>1.1563838233452129E-2</v>
      </c>
      <c r="BH104" s="207">
        <f>INDEX($A$102:$H$115,MATCH($L104,$B$102:$B$115,0),MATCH($BC$101,$A$102:$H$102,0))*고양시_Modal_split!H$3 * 0.01</f>
        <v>1.2569389384187098E-4</v>
      </c>
      <c r="BI104" s="207">
        <f>INDEX($A$102:$H$115,MATCH($L104,$B$102:$B$115,0),MATCH($BC$101,$A$102:$H$102,0))*고양시_Modal_split!I$3 * 0.01</f>
        <v>3.4942902488040127E-2</v>
      </c>
      <c r="BJ104" s="207">
        <f>INDEX($A$102:$H$115,MATCH($L104,$B$102:$B$115,0),MATCH($BC$101,$A$102:$H$102,0))*고양시_Modal_split!J$3 * 0.01</f>
        <v>0.38261221285465524</v>
      </c>
      <c r="BK104" s="207">
        <f>INDEX($A$102:$H$115,MATCH($L104,$B$102:$B$115,0),MATCH($BC$101,$A$102:$H$102,0))*고양시_Modal_split!K$3 * 0.01</f>
        <v>1.8854084076280644E-3</v>
      </c>
      <c r="BL104" s="207">
        <f>INDEX($A$102:$H$115,MATCH($L104,$B$102:$B$115,0),MATCH($BC$101,$A$102:$H$102,0))*고양시_Modal_split!L$3 * 0.01</f>
        <v>3.7959555940245034E-2</v>
      </c>
      <c r="BM104" s="207">
        <f>INDEX($A$102:$H$115,MATCH($L104,$B$102:$B$115,0),MATCH($BC$101,$A$102:$H$102,0))*고양시_Modal_split!M$3 * 0.01</f>
        <v>2.8909595583630323E-3</v>
      </c>
      <c r="BN104" s="207">
        <f>INDEX($A$102:$H$115,MATCH($L104,$B$102:$B$115,0),MATCH($BC$101,$A$102:$H$102,0))*고양시_Modal_split!N$3 * 0.01</f>
        <v>1.2569389384187099E-3</v>
      </c>
      <c r="BO104" s="207">
        <f>INDEX($A$102:$H$115,MATCH($L104,$B$102:$B$115,0),MATCH($BC$101,$A$102:$H$102,0))*고양시_Modal_split!O$3 * 0.01</f>
        <v>2.2624900891536777E-3</v>
      </c>
      <c r="BP104" s="207">
        <f>INDEX($A$102:$H$115,MATCH($L104,$B$102:$B$115,0),MATCH($BC$101,$A$102:$H$102,0))*고양시_Modal_split!P$3 * 0.01</f>
        <v>1.2569389384187097</v>
      </c>
      <c r="BQ104" s="207">
        <f>INDEX($A$102:$H$115,MATCH($L104,$B$102:$B$115,0),MATCH($BQ$101,$A$102:$H$102,0))*고양시_Modal_split!C$3 * 0.01</f>
        <v>9.9717155781217908E-3</v>
      </c>
      <c r="BR104" s="207">
        <f>INDEX($A$102:$H$115,MATCH($L104,$B$102:$B$115,0),MATCH($BQ$101,$A$102:$H$102,0))*고양시_Modal_split!D$3 * 0.01</f>
        <v>1.6748920844252428</v>
      </c>
      <c r="BS104" s="207">
        <f>INDEX($A$102:$H$115,MATCH($L104,$B$102:$B$115,0),MATCH($BQ$101,$A$102:$H$102,0))*고양시_Modal_split!E$3 * 0.01</f>
        <v>0.20263950585540358</v>
      </c>
      <c r="BT104" s="207">
        <f>INDEX($A$102:$H$115,MATCH($L104,$B$102:$B$115,0),MATCH($BQ$101,$A$102:$H$102,0))*고양시_Modal_split!F$3 * 0.01</f>
        <v>0.32657368518348878</v>
      </c>
      <c r="BU104" s="207">
        <f>INDEX($A$102:$H$115,MATCH($L104,$B$102:$B$115,0),MATCH($BQ$101,$A$102:$H$102,0))*고양시_Modal_split!G$3 * 0.01</f>
        <v>3.2764208328114462E-2</v>
      </c>
      <c r="BV104" s="207">
        <f>INDEX($A$102:$H$115,MATCH($L104,$B$102:$B$115,0),MATCH($BQ$101,$A$102:$H$102,0))*고양시_Modal_split!H$3 * 0.01</f>
        <v>3.5613269921863546E-4</v>
      </c>
      <c r="BW104" s="207">
        <f>INDEX($A$102:$H$115,MATCH($L104,$B$102:$B$115,0),MATCH($BQ$101,$A$102:$H$102,0))*고양시_Modal_split!I$3 * 0.01</f>
        <v>9.9004890382780653E-2</v>
      </c>
      <c r="BX104" s="207">
        <f>INDEX($A$102:$H$115,MATCH($L104,$B$102:$B$115,0),MATCH($BQ$101,$A$102:$H$102,0))*고양시_Modal_split!J$3 * 0.01</f>
        <v>1.0840679364215264</v>
      </c>
      <c r="BY104" s="207">
        <f>INDEX($A$102:$H$115,MATCH($L104,$B$102:$B$115,0),MATCH($BQ$101,$A$102:$H$102,0))*고양시_Modal_split!K$3 * 0.01</f>
        <v>5.3419904882795318E-3</v>
      </c>
      <c r="BZ104" s="207">
        <f>INDEX($A$102:$H$115,MATCH($L104,$B$102:$B$115,0),MATCH($BQ$101,$A$102:$H$102,0))*고양시_Modal_split!L$3 * 0.01</f>
        <v>0.10755207516402791</v>
      </c>
      <c r="CA104" s="207">
        <f>INDEX($A$102:$H$115,MATCH($L104,$B$102:$B$115,0),MATCH($BQ$101,$A$102:$H$102,0))*고양시_Modal_split!M$3 * 0.01</f>
        <v>8.1910520820286156E-3</v>
      </c>
      <c r="CB104" s="207">
        <f>INDEX($A$102:$H$115,MATCH($L104,$B$102:$B$115,0),MATCH($BQ$101,$A$102:$H$102,0))*고양시_Modal_split!N$3 * 0.01</f>
        <v>3.5613269921863549E-3</v>
      </c>
      <c r="CC104" s="207">
        <f>INDEX($A$102:$H$115,MATCH($L104,$B$102:$B$115,0),MATCH($BQ$101,$A$102:$H$102,0))*고양시_Modal_split!O$3 * 0.01</f>
        <v>6.4103885859354386E-3</v>
      </c>
      <c r="CD104" s="207">
        <f>INDEX($A$102:$H$115,MATCH($L104,$B$102:$B$115,0),MATCH($BQ$101,$A$102:$H$102,0))*고양시_Modal_split!P$3 * 0.01</f>
        <v>3.5613269921863551</v>
      </c>
      <c r="CE104" s="304">
        <f t="shared" ref="CE104:CE115" si="51">M104+AA104+AO104+BC104+BQ104</f>
        <v>34.355199738400287</v>
      </c>
      <c r="CF104" s="304">
        <f t="shared" si="47"/>
        <v>5770.4465846320209</v>
      </c>
      <c r="CG104" s="304">
        <f t="shared" si="47"/>
        <v>698.14673754106309</v>
      </c>
      <c r="CH104" s="304">
        <f t="shared" si="47"/>
        <v>1125.1327914326096</v>
      </c>
      <c r="CI104" s="304">
        <f t="shared" si="47"/>
        <v>112.88137056902953</v>
      </c>
      <c r="CJ104" s="304">
        <f t="shared" si="47"/>
        <v>1.2269714192285817</v>
      </c>
      <c r="CK104" s="304">
        <f t="shared" si="47"/>
        <v>341.09805454554578</v>
      </c>
      <c r="CL104" s="304">
        <f t="shared" si="47"/>
        <v>3734.9010001318038</v>
      </c>
      <c r="CM104" s="304">
        <f t="shared" si="47"/>
        <v>18.404571288428723</v>
      </c>
      <c r="CN104" s="304">
        <f t="shared" si="47"/>
        <v>370.54536860703172</v>
      </c>
      <c r="CO104" s="304">
        <f t="shared" si="47"/>
        <v>28.220342642257382</v>
      </c>
      <c r="CP104" s="304">
        <f t="shared" si="47"/>
        <v>12.269714192285818</v>
      </c>
      <c r="CQ104" s="304">
        <f t="shared" si="47"/>
        <v>22.085485546114473</v>
      </c>
      <c r="CR104" s="304">
        <f t="shared" si="47"/>
        <v>12269.714192285819</v>
      </c>
      <c r="CS104" s="305">
        <f t="shared" ref="CS104:CS115" si="52">H104-CR104</f>
        <v>0</v>
      </c>
      <c r="CV104" s="265"/>
      <c r="CW104" s="265" t="s">
        <v>667</v>
      </c>
      <c r="CX104" s="267">
        <f>INDEX($M$101:$Z$115,MATCH($CW104,$L$101:$L$115,0),MATCH(CX$102,$M$102:$Z$102,0))/INDEX(고양시_재차인원!$D$4:$H$35,MATCH("고양시",고양시_재차인원!$B$4:$B$35,0),MATCH($CX$101,고양시_재차인원!$D$4:$H$4,0))</f>
        <v>564.66030934483319</v>
      </c>
      <c r="CY104" s="267">
        <f>INDEX($M$101:$Z$115,MATCH($CW104,$L$101:$L$115,0),MATCH(CY$102,$M$102:$Z$102,0))/INDEX(고양시_재차인원!$K$4:$O$20,MATCH("경기도",고양시_재차인원!$K$4:$K$20,0),MATCH(CY$102,고양시_재차인원!$K$4:$O$4,0))</f>
        <v>4.6707717064430445E-3</v>
      </c>
      <c r="CZ104" s="267">
        <f>INDEX($M$101:$Z$115,MATCH($CW104,$L$101:$L$115,0),MATCH(CZ$102,$M$102:$Z$102,0))/INDEX(고양시_재차인원!$K$4:$O$20,MATCH("경기도",고양시_재차인원!$K$4:$K$20,0),MATCH(CZ$102,고양시_재차인원!$K$4:$O$4,0))</f>
        <v>1.2984745343911661</v>
      </c>
      <c r="DA104" s="267">
        <f>INDEX($M$101:$Z$115,MATCH($CW104,$L$101:$L$115,0),MATCH(DA$102,$M$102:$Z$102,0))/INDEX(고양시_재차인원!$D$4:$H$35,MATCH("고양시",고양시_재차인원!$B$4:$B$35,0),MATCH($CX$101,고양시_재차인원!$D$4:$H$4,0))</f>
        <v>36.259284163754955</v>
      </c>
      <c r="DB104" s="267">
        <f>INDEX($AA$101:$AN$115,MATCH($CW104,$L$101:$L$115,0),MATCH(DB$102,$AA$102:$AN$102,0))/INDEX(고양시_재차인원!$D$4:$H$35,MATCH("고양시",고양시_재차인원!$B$4:$B$35,0),MATCH($DB$101,고양시_재차인원!$D$4:$H$4,0))</f>
        <v>3487.7863326694242</v>
      </c>
      <c r="DC104" s="267">
        <f>INDEX($AA$101:$AN$115,MATCH($CW104,$L$101:$L$115,0),MATCH(DC$102,$AA$102:$AN$102,0))/INDEX(고양시_재차인원!$K$4:$O$20,MATCH("경기도",고양시_재차인원!$K$4:$K$20,0),MATCH(DC$102,고양시_재차인원!$K$4:$O$4,0))</f>
        <v>3.6320543655881769E-2</v>
      </c>
      <c r="DD104" s="267">
        <f>INDEX($AA$101:$AN$115,MATCH($CW104,$L$101:$L$115,0),MATCH(DD$102,$AA$102:$AN$102,0))/INDEX(고양시_재차인원!$K$4:$O$20,MATCH("경기도",고양시_재차인원!$K$4:$K$20,0),MATCH(DD$102,고양시_재차인원!$K$4:$O$4,0))</f>
        <v>10.097111136335132</v>
      </c>
      <c r="DE104" s="267">
        <f>INDEX($AA$101:$AN$115,MATCH($CW104,$L$101:$L$115,0),MATCH(DE$102,$AA$102:$AN$102,0))/INDEX(고양시_재차인원!$D$4:$H$35,MATCH("고양시",고양시_재차인원!$B$4:$B$35,0),MATCH($DB$101,고양시_재차인원!$D$4:$H$4,0))</f>
        <v>223.96586699259328</v>
      </c>
      <c r="DF104" s="267">
        <f>INDEX($AO$101:$BB$115,MATCH($CW104,$L$101:$L$115,0),MATCH(DF$102,$AO$102:$BB$102,0))/INDEX(고양시_재차인원!$D$4:$H$35,MATCH("고양시",고양시_재차인원!$B$4:$B$35,0),MATCH($DF$101,고양시_재차인원!$D$4:$H$4,0))</f>
        <v>167.67867587288927</v>
      </c>
      <c r="DG104" s="267">
        <f>INDEX($AO$101:$BB$115,MATCH($CW104,$L$101:$L$115,0),MATCH(DG$102,$AO$102:$BB$102,0))/INDEX(고양시_재차인원!$K$4:$O$20,MATCH("경기도",고양시_재차인원!$K$4:$K$20,0),MATCH(DG$102,고양시_재차인원!$K$4:$O$4,0))</f>
        <v>1.6099209223407469E-3</v>
      </c>
      <c r="DH104" s="267">
        <f>INDEX($AO$101:$BB$115,MATCH($CW104,$L$101:$L$115,0),MATCH(DH$102,$AO$102:$BB$102,0))/INDEX(고양시_재차인원!$K$4:$O$20,MATCH("경기도",고양시_재차인원!$K$4:$K$20,0),MATCH(DH$102,고양시_재차인원!$K$4:$O$4,0))</f>
        <v>0.44755801641072757</v>
      </c>
      <c r="DI104" s="267">
        <f>INDEX($AO$101:$BB$115,MATCH($CW104,$L$101:$L$115,0),MATCH(DI$102,$AO$102:$BB$102,0))/INDEX(고양시_재차인원!$D$4:$H$35,MATCH("고양시",고양시_재차인원!$B$4:$B$35,0),MATCH($DF$101,고양시_재차인원!$D$4:$H$4,0))</f>
        <v>10.767374040742622</v>
      </c>
      <c r="DJ104" s="267">
        <f>INDEX($BC$101:$BP$115,MATCH($CW104,$L$101:$L$115,0),MATCH(DJ$102,$BC$102:$BP$102,0))/INDEX(고양시_재차인원!$D$4:$H$35,MATCH("고양시",고양시_재차인원!$B$4:$B$35,0),MATCH($DJ$101,고양시_재차인원!$D$4:$H$4,0))</f>
        <v>0.43466057554288173</v>
      </c>
      <c r="DK104" s="267">
        <f>INDEX($BC$101:$BP$115,MATCH($CW104,$L$101:$L$115,0),MATCH(DK$102,$BC$102:$BP$102,0))/INDEX(고양시_재차인원!$K$4:$O$20,MATCH("경기도",고양시_재차인원!$K$4:$K$20,0),MATCH(DK$102,고양시_재차인원!$K$4:$O$4,0))</f>
        <v>4.3658872470257379E-6</v>
      </c>
      <c r="DL104" s="267">
        <f>INDEX($BC$101:$BP$115,MATCH($CW104,$L$101:$L$115,0),MATCH(DL$102,$BC$102:$BP$102,0))/INDEX(고양시_재차인원!$K$4:$O$20,MATCH("경기도",고양시_재차인원!$K$4:$K$20,0),MATCH(DL$102,고양시_재차인원!$K$4:$O$4,0))</f>
        <v>1.2137166546731548E-3</v>
      </c>
      <c r="DM104" s="267">
        <f>INDEX($BC$101:$BP$115,MATCH($CW104,$L$101:$L$115,0),MATCH(DM$102,$BC$102:$BP$102,0))/INDEX(고양시_재차인원!$D$4:$H$35,MATCH("고양시",고양시_재차인원!$B$4:$B$35,0),MATCH($DJ$101,고양시_재차인원!$D$4:$H$4,0))</f>
        <v>2.7911438191356639E-2</v>
      </c>
      <c r="DN104" s="267">
        <f>INDEX($BQ$101:$CD$115,MATCH($CW104,$L$101:$L$115,0),MATCH(DN$102,$BQ$102:$CD$102,0))/INDEX(고양시_재차인원!$D$4:$H$35,MATCH("고양시",고양시_재차인원!$B$4:$B$35,0),MATCH($DN$101,고양시_재차인원!$D$4:$H$4,0))</f>
        <v>1.3292794320835259</v>
      </c>
      <c r="DO104" s="267">
        <f>INDEX($BQ$101:$CD$115,MATCH($CW104,$L$101:$L$115,0),MATCH(DO$102,$BQ$102:$CD$102,0))/INDEX(고양시_재차인원!$K$4:$O$20,MATCH("경기도",고양시_재차인원!$K$4:$K$20,0),MATCH(DO$102,고양시_재차인원!$K$4:$O$4,0))</f>
        <v>1.2370013866572958E-5</v>
      </c>
      <c r="DP104" s="267">
        <f>INDEX($BQ$101:$CD$115,MATCH($CW104,$L$101:$L$115,0),MATCH(DP$102,$BQ$102:$CD$102,0))/INDEX(고양시_재차인원!$K$4:$O$20,MATCH("경기도",고양시_재차인원!$K$4:$K$20,0),MATCH(DP$102,고양시_재차인원!$K$4:$O$4,0))</f>
        <v>3.438863854907282E-3</v>
      </c>
      <c r="DQ104" s="267">
        <f>INDEX($BQ$101:$CD$115,MATCH($CW104,$L$101:$L$115,0),MATCH(DQ$102,$BQ$102:$CD$102,0))/INDEX(고양시_재차인원!$D$4:$H$35,MATCH("고양시",고양시_재차인원!$B$4:$B$35,0),MATCH($DN$101,고양시_재차인원!$D$4:$H$4,0))</f>
        <v>8.5358789812720562E-2</v>
      </c>
      <c r="DR104" s="270">
        <f t="shared" ref="DR104:DR115" si="53">CX104+DB104+DF104+DJ104+DN104</f>
        <v>4221.8892578947725</v>
      </c>
      <c r="DS104" s="270">
        <f t="shared" si="48"/>
        <v>4.261797218577916E-2</v>
      </c>
      <c r="DT104" s="270">
        <f t="shared" si="48"/>
        <v>11.847796267646606</v>
      </c>
      <c r="DU104" s="270">
        <f t="shared" si="48"/>
        <v>271.10579542509498</v>
      </c>
      <c r="DW104" s="278"/>
      <c r="DX104" s="278" t="s">
        <v>667</v>
      </c>
      <c r="DY104" s="281">
        <f t="shared" ref="DY104:DY115" si="54">DR104+DU104</f>
        <v>4492.9950533198671</v>
      </c>
      <c r="DZ104" s="281">
        <f t="shared" ref="DZ104:DZ115" si="55">DS104+DT104</f>
        <v>11.890414239832385</v>
      </c>
      <c r="EB104" s="278"/>
      <c r="EC104" s="278" t="s">
        <v>667</v>
      </c>
      <c r="ED104" s="281">
        <f t="shared" ref="ED104:ED115" si="56">DY104</f>
        <v>4492.9950533198671</v>
      </c>
      <c r="EE104" s="281">
        <f t="shared" si="49"/>
        <v>11.890414239832385</v>
      </c>
      <c r="EL104" s="306" t="s">
        <v>12</v>
      </c>
      <c r="EM104" s="306" t="s">
        <v>610</v>
      </c>
      <c r="EN104" s="306">
        <v>5231.5074000000004</v>
      </c>
      <c r="EO104" s="306">
        <v>7.8111327130966773E-2</v>
      </c>
      <c r="EP104" s="307">
        <v>849102</v>
      </c>
      <c r="EQ104" s="308">
        <f t="shared" ref="EQ104:EQ137" si="57">VLOOKUP($EL104,$EC$102:$EE$114,2,FALSE)*$EO104</f>
        <v>16.115302934765914</v>
      </c>
      <c r="ER104" s="308">
        <f t="shared" ref="ER104:ER137" si="58">VLOOKUP($EL104,$EC$102:$EE$114,3,FALSE)*$EO104</f>
        <v>4.2648083343240557E-2</v>
      </c>
      <c r="ET104" s="420" t="s">
        <v>12</v>
      </c>
      <c r="EU104" s="420" t="s">
        <v>610</v>
      </c>
      <c r="EV104" s="420">
        <v>5231.5074000000004</v>
      </c>
      <c r="EW104" s="420">
        <v>7.8111327130966773E-2</v>
      </c>
      <c r="EX104" s="421">
        <v>849102</v>
      </c>
      <c r="EY104" s="422">
        <f t="shared" ref="EY104:EY136" si="59">EQ104*$AV$11*(1-$AZ$7)</f>
        <v>15.656016801125086</v>
      </c>
      <c r="EZ104" s="422">
        <f t="shared" ref="EZ104:EZ136" si="60">ER104*AV$11*(1-$AZ$7)</f>
        <v>4.14326129679582E-2</v>
      </c>
      <c r="FA104">
        <v>0</v>
      </c>
      <c r="FD104" s="306" t="s">
        <v>12</v>
      </c>
      <c r="FE104" s="306" t="s">
        <v>610</v>
      </c>
      <c r="FF104" s="306">
        <v>5231.5074000000004</v>
      </c>
      <c r="FG104" s="306">
        <v>7.8111327130966773E-2</v>
      </c>
      <c r="FH104" s="307">
        <v>849102</v>
      </c>
      <c r="FI104" s="308">
        <f t="shared" ref="FI104:FI136" si="61">EY104*$FB$95</f>
        <v>15.656016801125086</v>
      </c>
      <c r="FJ104" s="308">
        <f t="shared" si="50"/>
        <v>4.14326129679582E-2</v>
      </c>
      <c r="FL104" s="101"/>
      <c r="FM104" s="101"/>
      <c r="FN104" s="101"/>
      <c r="FO104" s="101"/>
      <c r="FP104" s="374"/>
      <c r="FQ104" s="404"/>
      <c r="FR104" s="404"/>
    </row>
    <row r="105" spans="1:174" ht="25">
      <c r="A105" s="205"/>
      <c r="B105" s="205" t="s">
        <v>669</v>
      </c>
      <c r="C105" s="400">
        <f>$AB63*KTDB_TripDistribution_2035!L$12 * (1+KTDB_발생량도착량_증가율!$C$8*2) * (1+KTDB_발생량도착량_증가율!$D$7*5) * (1+KTDB_발생량도착량_증가율!$E$7*5)</f>
        <v>1010.7809515947628</v>
      </c>
      <c r="D105" s="400">
        <f>$AB63*KTDB_TripDistribution_2035!M$12 * (1+KTDB_발생량도착량_증가율!$C$8*2) * (1+KTDB_발생량도착량_증가율!$D$7*5) * (1+KTDB_발생량도착량_증가율!$E$7*5)</f>
        <v>7859.9674713900431</v>
      </c>
      <c r="E105" s="400">
        <f>$AB63*KTDB_TripDistribution_2035!N$12 * (1+KTDB_발생량도착량_증가율!$C$8*2) * (1+KTDB_발생량도착량_증가율!$D$7*5) * (1+KTDB_발생량도착량_증가율!$E$7*5)</f>
        <v>348.39583352600346</v>
      </c>
      <c r="F105" s="400">
        <f>$AB63*KTDB_TripDistribution_2035!O$12 * (1+KTDB_발생량도착량_증가율!$C$8*2) * (1+KTDB_발생량도착량_증가율!$D$7*5) * (1+KTDB_발생량도착량_증가율!$E$7*5)</f>
        <v>0.94480226040949755</v>
      </c>
      <c r="G105" s="400">
        <f>$AB63*KTDB_TripDistribution_2035!P$12 * (1+KTDB_발생량도착량_증가율!$C$8*2) * (1+KTDB_발생량도착량_증가율!$D$7*5) * (1+KTDB_발생량도착량_증가율!$E$7*5)</f>
        <v>2.6769397378269177</v>
      </c>
      <c r="H105" s="400">
        <f>$AB63*KTDB_TripDistribution_2035!Q$12 * (1+KTDB_발생량도착량_증가율!$C$8*2) * (1+KTDB_발생량도착량_증가율!$D$7*5) * (1+KTDB_발생량도착량_증가율!$E$7*5)</f>
        <v>9222.7659985090468</v>
      </c>
      <c r="J105" s="230">
        <f t="shared" si="46"/>
        <v>9222.7659985090449</v>
      </c>
      <c r="K105" s="206"/>
      <c r="L105" s="206" t="s">
        <v>669</v>
      </c>
      <c r="M105" s="206">
        <f>INDEX($A$102:$H$115,MATCH($L105,$B$102:$B$115,0),MATCH($M$101,$A$102:$H$102,0))*고양시_Modal_split!C$3 * 0.01</f>
        <v>2.8301866644653355</v>
      </c>
      <c r="N105" s="206">
        <f>INDEX($A$102:$H$115,MATCH($L105,$B$102:$B$115,0),MATCH($M$101,$A$102:$H$102,0))*고양시_Modal_split!D$3 * 0.01</f>
        <v>475.37028153501694</v>
      </c>
      <c r="O105" s="206">
        <f>INDEX($A$102:$H$115,MATCH($L105,$B$102:$B$115,0),MATCH($M$101,$A$102:$H$102,0))*고양시_Modal_split!E$3 * 0.01</f>
        <v>57.513436145741998</v>
      </c>
      <c r="P105" s="206">
        <f>INDEX($A$102:$H$115,MATCH($L105,$B$102:$B$115,0),MATCH($M$101,$A$102:$H$102,0))*고양시_Modal_split!F$3 * 0.01</f>
        <v>92.688613261239752</v>
      </c>
      <c r="Q105" s="206">
        <f>INDEX($A$102:$H$115,MATCH($L105,$B$102:$B$115,0),MATCH($M$101,$A$102:$H$102,0))*고양시_Modal_split!G$3 * 0.01</f>
        <v>9.2991847546718169</v>
      </c>
      <c r="R105" s="206">
        <f>INDEX($A$102:$H$115,MATCH($L105,$B$102:$B$115,0),MATCH($M$101,$A$102:$H$102,0))*고양시_Modal_split!H$3 * 0.01</f>
        <v>0.10107809515947627</v>
      </c>
      <c r="S105" s="206">
        <f>INDEX($A$102:$H$115,MATCH($L105,$B$102:$B$115,0),MATCH($M$101,$A$102:$H$102,0))*고양시_Modal_split!I$3 * 0.01</f>
        <v>28.099710454334403</v>
      </c>
      <c r="T105" s="206">
        <f>INDEX($A$102:$H$115,MATCH($L105,$B$102:$B$115,0),MATCH($M$101,$A$102:$H$102,0))*고양시_Modal_split!J$3 * 0.01</f>
        <v>307.68172166544582</v>
      </c>
      <c r="U105" s="206">
        <f>INDEX($A$102:$H$115,MATCH($L105,$B$102:$B$115,0),MATCH($M$101,$A$102:$H$102,0))*고양시_Modal_split!K$3 * 0.01</f>
        <v>1.5161714273921443</v>
      </c>
      <c r="V105" s="206">
        <f>INDEX($A$102:$H$115,MATCH($L105,$B$102:$B$115,0),MATCH($M$101,$A$102:$H$102,0))*고양시_Modal_split!L$3 * 0.01</f>
        <v>30.525584738161839</v>
      </c>
      <c r="W105" s="206">
        <f>INDEX($A$102:$H$115,MATCH($L105,$B$102:$B$115,0),MATCH($M$101,$A$102:$H$102,0))*고양시_Modal_split!M$3 * 0.01</f>
        <v>2.3247961886679542</v>
      </c>
      <c r="X105" s="206">
        <f>INDEX($A$102:$H$115,MATCH($L105,$B$102:$B$115,0),MATCH($M$101,$A$102:$H$102,0))*고양시_Modal_split!N$3 * 0.01</f>
        <v>1.0107809515947628</v>
      </c>
      <c r="Y105" s="206">
        <f>INDEX($A$102:$H$115,MATCH($L105,$B$102:$B$115,0),MATCH($M$101,$A$102:$H$102,0))*고양시_Modal_split!O$3 * 0.01</f>
        <v>1.819405712870573</v>
      </c>
      <c r="Z105" s="209">
        <f>INDEX($A$102:$H$115,MATCH($L105,$B$102:$B$115,0),MATCH($M$101,$A$102:$H$102,0))*고양시_Modal_split!P$3 * 0.01</f>
        <v>1010.7809515947628</v>
      </c>
      <c r="AA105" s="207">
        <f>INDEX($A$102:$H$115,MATCH($L105,$B$102:$B$115,0),MATCH($AA$101,$A$102:$H$102,0))*고양시_Modal_split!C$3 * 0.01</f>
        <v>22.00790891989212</v>
      </c>
      <c r="AB105" s="207">
        <f>INDEX($A$102:$H$115,MATCH($L105,$B$102:$B$115,0),MATCH($AA$101,$A$102:$H$102,0))*고양시_Modal_split!D$3 * 0.01</f>
        <v>3696.5427017947372</v>
      </c>
      <c r="AC105" s="207">
        <f>INDEX($A$102:$H$115,MATCH($L105,$B$102:$B$115,0),MATCH($AA$101,$A$102:$H$102,0))*고양시_Modal_split!E$3 * 0.01</f>
        <v>447.2321491220934</v>
      </c>
      <c r="AD105" s="207">
        <f>INDEX($A$102:$H$115,MATCH($L105,$B$102:$B$115,0),MATCH($AA$101,$A$102:$H$102,0))*고양시_Modal_split!F$3 * 0.01</f>
        <v>720.75901712646692</v>
      </c>
      <c r="AE105" s="207">
        <f>INDEX($A$102:$H$115,MATCH($L105,$B$102:$B$115,0),MATCH($AA$101,$A$102:$H$102,0))*고양시_Modal_split!G$3 * 0.01</f>
        <v>72.311700736788396</v>
      </c>
      <c r="AF105" s="207">
        <f>INDEX($A$102:$H$115,MATCH($L105,$B$102:$B$115,0),MATCH($AA$101,$A$102:$H$102,0))*고양시_Modal_split!H$3 * 0.01</f>
        <v>0.78599674713900425</v>
      </c>
      <c r="AG105" s="207">
        <f>INDEX($A$102:$H$115,MATCH($L105,$B$102:$B$115,0),MATCH($AA$101,$A$102:$H$102,0))*고양시_Modal_split!I$3 * 0.01</f>
        <v>218.50709570464318</v>
      </c>
      <c r="AH105" s="207">
        <f>INDEX($A$102:$H$115,MATCH($L105,$B$102:$B$115,0),MATCH($AA$101,$A$102:$H$102,0))*고양시_Modal_split!J$3 * 0.01</f>
        <v>2392.5740982911293</v>
      </c>
      <c r="AI105" s="207">
        <f>INDEX($A$102:$H$115,MATCH($L105,$B$102:$B$115,0),MATCH($AA$101,$A$102:$H$102,0))*고양시_Modal_split!K$3 * 0.01</f>
        <v>11.789951207085064</v>
      </c>
      <c r="AJ105" s="207">
        <f>INDEX($A$102:$H$115,MATCH($L105,$B$102:$B$115,0),MATCH($AA$101,$A$102:$H$102,0))*고양시_Modal_split!L$3 * 0.01</f>
        <v>237.37101763597931</v>
      </c>
      <c r="AK105" s="207">
        <f>INDEX($A$102:$H$115,MATCH($L105,$B$102:$B$115,0),MATCH($AA$101,$A$102:$H$102,0))*고양시_Modal_split!M$3 * 0.01</f>
        <v>18.077925184197099</v>
      </c>
      <c r="AL105" s="207">
        <f>INDEX($A$102:$H$115,MATCH($L105,$B$102:$B$115,0),MATCH($AA$101,$A$102:$H$102,0))*고양시_Modal_split!N$3 * 0.01</f>
        <v>7.8599674713900436</v>
      </c>
      <c r="AM105" s="207">
        <f>INDEX($A$102:$H$115,MATCH($L105,$B$102:$B$115,0),MATCH($AA$101,$A$102:$H$102,0))*고양시_Modal_split!O$3 * 0.01</f>
        <v>14.147941448502078</v>
      </c>
      <c r="AN105" s="207">
        <f>INDEX($A$102:$H$115,MATCH($L105,$B$102:$B$115,0),MATCH($AA$101,$A$102:$H$102,0))*고양시_Modal_split!P$3 * 0.01</f>
        <v>7859.9674713900431</v>
      </c>
      <c r="AO105" s="303">
        <f>INDEX($A$102:$H$115,MATCH($L105,$B$102:$B$115,0),MATCH($AO$101,$A$102:$H$102,0))*고양시_Modal_split!C$3 * 0.01</f>
        <v>0.97550833387280966</v>
      </c>
      <c r="AP105" s="303">
        <f>INDEX($A$102:$H$115,MATCH($L105,$B$102:$B$115,0),MATCH($AO$101,$A$102:$H$102,0))*고양시_Modal_split!D$3 * 0.01</f>
        <v>163.85056050727945</v>
      </c>
      <c r="AQ105" s="303">
        <f>INDEX($A$102:$H$115,MATCH($L105,$B$102:$B$115,0),MATCH($AO$101,$A$102:$H$102,0))*고양시_Modal_split!E$3 * 0.01</f>
        <v>19.823722927629596</v>
      </c>
      <c r="AR105" s="303">
        <f>INDEX($A$102:$H$115,MATCH($L105,$B$102:$B$115,0),MATCH($AO$101,$A$102:$H$102,0))*고양시_Modal_split!F$3 * 0.01</f>
        <v>31.94789793433452</v>
      </c>
      <c r="AS105" s="303">
        <f>INDEX($A$102:$H$115,MATCH($L105,$B$102:$B$115,0),MATCH($AO$101,$A$102:$H$102,0))*고양시_Modal_split!G$3 * 0.01</f>
        <v>3.205241668439232</v>
      </c>
      <c r="AT105" s="303">
        <f>INDEX($A$102:$H$115,MATCH($L105,$B$102:$B$115,0),MATCH($AO$101,$A$102:$H$102,0))*고양시_Modal_split!H$3 * 0.01</f>
        <v>3.4839583352600345E-2</v>
      </c>
      <c r="AU105" s="303">
        <f>INDEX($A$102:$H$115,MATCH($L105,$B$102:$B$115,0),MATCH($AO$101,$A$102:$H$102,0))*고양시_Modal_split!I$3 * 0.01</f>
        <v>9.6854041720228956</v>
      </c>
      <c r="AV105" s="303">
        <f>INDEX($A$102:$H$115,MATCH($L105,$B$102:$B$115,0),MATCH($AO$101,$A$102:$H$102,0))*고양시_Modal_split!J$3 * 0.01</f>
        <v>106.05169172531545</v>
      </c>
      <c r="AW105" s="303">
        <f>INDEX($A$102:$H$115,MATCH($L105,$B$102:$B$115,0),MATCH($AO$101,$A$102:$H$102,0))*고양시_Modal_split!K$3 * 0.01</f>
        <v>0.52259375028900512</v>
      </c>
      <c r="AX105" s="303">
        <f>INDEX($A$102:$H$115,MATCH($L105,$B$102:$B$115,0),MATCH($AO$101,$A$102:$H$102,0))*고양시_Modal_split!L$3 * 0.01</f>
        <v>10.521554172485306</v>
      </c>
      <c r="AY105" s="303">
        <f>INDEX($A$102:$H$115,MATCH($L105,$B$102:$B$115,0),MATCH($AO$101,$A$102:$H$102,0))*고양시_Modal_split!M$3 * 0.01</f>
        <v>0.80131041710980799</v>
      </c>
      <c r="AZ105" s="303">
        <f>INDEX($A$102:$H$115,MATCH($L105,$B$102:$B$115,0),MATCH($AO$101,$A$102:$H$102,0))*고양시_Modal_split!N$3 * 0.01</f>
        <v>0.34839583352600351</v>
      </c>
      <c r="BA105" s="207">
        <f>INDEX($A$102:$H$115,MATCH($L105,$B$102:$B$115,0),MATCH($AO$101,$A$102:$H$102,0))*고양시_Modal_split!O$3 * 0.01</f>
        <v>0.62711250034680621</v>
      </c>
      <c r="BB105" s="207">
        <f>INDEX($A$102:$H$115,MATCH($L105,$B$102:$B$115,0),MATCH($AO$101,$A$102:$H$102,0))*고양시_Modal_split!P$3 * 0.01</f>
        <v>348.39583352600351</v>
      </c>
      <c r="BC105" s="207">
        <f>INDEX($A$102:$H$115,MATCH($L105,$B$102:$B$115,0),MATCH($BC$101,$A$102:$H$102,0))*고양시_Modal_split!C$3 * 0.01</f>
        <v>2.6454463291465929E-3</v>
      </c>
      <c r="BD105" s="207">
        <f>INDEX($A$102:$H$115,MATCH($L105,$B$102:$B$115,0),MATCH($BC$101,$A$102:$H$102,0))*고양시_Modal_split!D$3 * 0.01</f>
        <v>0.4443405030705867</v>
      </c>
      <c r="BE105" s="207">
        <f>INDEX($A$102:$H$115,MATCH($L105,$B$102:$B$115,0),MATCH($BC$101,$A$102:$H$102,0))*고양시_Modal_split!E$3 * 0.01</f>
        <v>5.3759248617300408E-2</v>
      </c>
      <c r="BF105" s="207">
        <f>INDEX($A$102:$H$115,MATCH($L105,$B$102:$B$115,0),MATCH($BC$101,$A$102:$H$102,0))*고양시_Modal_split!F$3 * 0.01</f>
        <v>8.6638367279550918E-2</v>
      </c>
      <c r="BG105" s="207">
        <f>INDEX($A$102:$H$115,MATCH($L105,$B$102:$B$115,0),MATCH($BC$101,$A$102:$H$102,0))*고양시_Modal_split!G$3 * 0.01</f>
        <v>8.6921807957673763E-3</v>
      </c>
      <c r="BH105" s="207">
        <f>INDEX($A$102:$H$115,MATCH($L105,$B$102:$B$115,0),MATCH($BC$101,$A$102:$H$102,0))*고양시_Modal_split!H$3 * 0.01</f>
        <v>9.4480226040949755E-5</v>
      </c>
      <c r="BI105" s="207">
        <f>INDEX($A$102:$H$115,MATCH($L105,$B$102:$B$115,0),MATCH($BC$101,$A$102:$H$102,0))*고양시_Modal_split!I$3 * 0.01</f>
        <v>2.6265502839384031E-2</v>
      </c>
      <c r="BJ105" s="207">
        <f>INDEX($A$102:$H$115,MATCH($L105,$B$102:$B$115,0),MATCH($BC$101,$A$102:$H$102,0))*고양시_Modal_split!J$3 * 0.01</f>
        <v>0.28759780806865104</v>
      </c>
      <c r="BK105" s="207">
        <f>INDEX($A$102:$H$115,MATCH($L105,$B$102:$B$115,0),MATCH($BC$101,$A$102:$H$102,0))*고양시_Modal_split!K$3 * 0.01</f>
        <v>1.4172033906142462E-3</v>
      </c>
      <c r="BL105" s="207">
        <f>INDEX($A$102:$H$115,MATCH($L105,$B$102:$B$115,0),MATCH($BC$101,$A$102:$H$102,0))*고양시_Modal_split!L$3 * 0.01</f>
        <v>2.8533028264366826E-2</v>
      </c>
      <c r="BM105" s="207">
        <f>INDEX($A$102:$H$115,MATCH($L105,$B$102:$B$115,0),MATCH($BC$101,$A$102:$H$102,0))*고양시_Modal_split!M$3 * 0.01</f>
        <v>2.1730451989418441E-3</v>
      </c>
      <c r="BN105" s="207">
        <f>INDEX($A$102:$H$115,MATCH($L105,$B$102:$B$115,0),MATCH($BC$101,$A$102:$H$102,0))*고양시_Modal_split!N$3 * 0.01</f>
        <v>9.4480226040949758E-4</v>
      </c>
      <c r="BO105" s="207">
        <f>INDEX($A$102:$H$115,MATCH($L105,$B$102:$B$115,0),MATCH($BC$101,$A$102:$H$102,0))*고양시_Modal_split!O$3 * 0.01</f>
        <v>1.7006440687370955E-3</v>
      </c>
      <c r="BP105" s="207">
        <f>INDEX($A$102:$H$115,MATCH($L105,$B$102:$B$115,0),MATCH($BC$101,$A$102:$H$102,0))*고양시_Modal_split!P$3 * 0.01</f>
        <v>0.94480226040949766</v>
      </c>
      <c r="BQ105" s="207">
        <f>INDEX($A$102:$H$115,MATCH($L105,$B$102:$B$115,0),MATCH($BQ$101,$A$102:$H$102,0))*고양시_Modal_split!C$3 * 0.01</f>
        <v>7.495431265915369E-3</v>
      </c>
      <c r="BR105" s="207">
        <f>INDEX($A$102:$H$115,MATCH($L105,$B$102:$B$115,0),MATCH($BQ$101,$A$102:$H$102,0))*고양시_Modal_split!D$3 * 0.01</f>
        <v>1.2589647586999995</v>
      </c>
      <c r="BS105" s="207">
        <f>INDEX($A$102:$H$115,MATCH($L105,$B$102:$B$115,0),MATCH($BQ$101,$A$102:$H$102,0))*고양시_Modal_split!E$3 * 0.01</f>
        <v>0.15231787108235159</v>
      </c>
      <c r="BT105" s="207">
        <f>INDEX($A$102:$H$115,MATCH($L105,$B$102:$B$115,0),MATCH($BQ$101,$A$102:$H$102,0))*고양시_Modal_split!F$3 * 0.01</f>
        <v>0.24547537395872837</v>
      </c>
      <c r="BU105" s="207">
        <f>INDEX($A$102:$H$115,MATCH($L105,$B$102:$B$115,0),MATCH($BQ$101,$A$102:$H$102,0))*고양시_Modal_split!G$3 * 0.01</f>
        <v>2.4627845588007641E-2</v>
      </c>
      <c r="BV105" s="207">
        <f>INDEX($A$102:$H$115,MATCH($L105,$B$102:$B$115,0),MATCH($BQ$101,$A$102:$H$102,0))*고양시_Modal_split!H$3 * 0.01</f>
        <v>2.676939737826918E-4</v>
      </c>
      <c r="BW105" s="207">
        <f>INDEX($A$102:$H$115,MATCH($L105,$B$102:$B$115,0),MATCH($BQ$101,$A$102:$H$102,0))*고양시_Modal_split!I$3 * 0.01</f>
        <v>7.4418924711588313E-2</v>
      </c>
      <c r="BX105" s="207">
        <f>INDEX($A$102:$H$115,MATCH($L105,$B$102:$B$115,0),MATCH($BQ$101,$A$102:$H$102,0))*고양시_Modal_split!J$3 * 0.01</f>
        <v>0.81486045619451375</v>
      </c>
      <c r="BY105" s="207">
        <f>INDEX($A$102:$H$115,MATCH($L105,$B$102:$B$115,0),MATCH($BQ$101,$A$102:$H$102,0))*고양시_Modal_split!K$3 * 0.01</f>
        <v>4.0154096067403769E-3</v>
      </c>
      <c r="BZ105" s="207">
        <f>INDEX($A$102:$H$115,MATCH($L105,$B$102:$B$115,0),MATCH($BQ$101,$A$102:$H$102,0))*고양시_Modal_split!L$3 * 0.01</f>
        <v>8.0843580082372912E-2</v>
      </c>
      <c r="CA105" s="207">
        <f>INDEX($A$102:$H$115,MATCH($L105,$B$102:$B$115,0),MATCH($BQ$101,$A$102:$H$102,0))*고양시_Modal_split!M$3 * 0.01</f>
        <v>6.1569613970019104E-3</v>
      </c>
      <c r="CB105" s="207">
        <f>INDEX($A$102:$H$115,MATCH($L105,$B$102:$B$115,0),MATCH($BQ$101,$A$102:$H$102,0))*고양시_Modal_split!N$3 * 0.01</f>
        <v>2.6769397378269178E-3</v>
      </c>
      <c r="CC105" s="207">
        <f>INDEX($A$102:$H$115,MATCH($L105,$B$102:$B$115,0),MATCH($BQ$101,$A$102:$H$102,0))*고양시_Modal_split!O$3 * 0.01</f>
        <v>4.8184915280884517E-3</v>
      </c>
      <c r="CD105" s="207">
        <f>INDEX($A$102:$H$115,MATCH($L105,$B$102:$B$115,0),MATCH($BQ$101,$A$102:$H$102,0))*고양시_Modal_split!P$3 * 0.01</f>
        <v>2.6769397378269177</v>
      </c>
      <c r="CE105" s="304">
        <f t="shared" si="51"/>
        <v>25.823744795825327</v>
      </c>
      <c r="CF105" s="304">
        <f t="shared" si="47"/>
        <v>4337.4668490988042</v>
      </c>
      <c r="CG105" s="304">
        <f t="shared" si="47"/>
        <v>524.77538531516461</v>
      </c>
      <c r="CH105" s="304">
        <f t="shared" si="47"/>
        <v>845.7276420632794</v>
      </c>
      <c r="CI105" s="304">
        <f t="shared" si="47"/>
        <v>84.849447186283214</v>
      </c>
      <c r="CJ105" s="304">
        <f t="shared" si="47"/>
        <v>0.9222765998509046</v>
      </c>
      <c r="CK105" s="304">
        <f t="shared" si="47"/>
        <v>256.39289475855151</v>
      </c>
      <c r="CL105" s="304">
        <f t="shared" si="47"/>
        <v>2807.4099699461535</v>
      </c>
      <c r="CM105" s="304">
        <f t="shared" si="47"/>
        <v>13.834148997763569</v>
      </c>
      <c r="CN105" s="304">
        <f t="shared" si="47"/>
        <v>278.52753315497318</v>
      </c>
      <c r="CO105" s="304">
        <f t="shared" si="47"/>
        <v>21.212361796570804</v>
      </c>
      <c r="CP105" s="304">
        <f t="shared" si="47"/>
        <v>9.2227659985090469</v>
      </c>
      <c r="CQ105" s="304">
        <f t="shared" si="47"/>
        <v>16.600978797316284</v>
      </c>
      <c r="CR105" s="304">
        <f t="shared" si="47"/>
        <v>9222.7659985090449</v>
      </c>
      <c r="CS105" s="305">
        <f t="shared" si="52"/>
        <v>0</v>
      </c>
      <c r="CV105" s="265"/>
      <c r="CW105" s="265" t="s">
        <v>669</v>
      </c>
      <c r="CX105" s="267">
        <f>INDEX($M$101:$Z$115,MATCH($CW105,$L$101:$L$115,0),MATCH(CX$102,$M$102:$Z$102,0))/INDEX(고양시_재차인원!$D$4:$H$35,MATCH("고양시",고양시_재차인원!$B$4:$B$35,0),MATCH($CX$101,고양시_재차인원!$D$4:$H$4,0))</f>
        <v>424.43775137055081</v>
      </c>
      <c r="CY105" s="267">
        <f>INDEX($M$101:$Z$115,MATCH($CW105,$L$101:$L$115,0),MATCH(CY$102,$M$102:$Z$102,0))/INDEX(고양시_재차인원!$K$4:$O$20,MATCH("경기도",고양시_재차인원!$K$4:$K$20,0),MATCH(CY$102,고양시_재차인원!$K$4:$O$4,0))</f>
        <v>3.5108751357928545E-3</v>
      </c>
      <c r="CZ105" s="267">
        <f>INDEX($M$101:$Z$115,MATCH($CW105,$L$101:$L$115,0),MATCH(CZ$102,$M$102:$Z$102,0))/INDEX(고양시_재차인원!$K$4:$O$20,MATCH("경기도",고양시_재차인원!$K$4:$K$20,0),MATCH(CZ$102,고양시_재차인원!$K$4:$O$4,0))</f>
        <v>0.97602328775041347</v>
      </c>
      <c r="DA105" s="267">
        <f>INDEX($M$101:$Z$115,MATCH($CW105,$L$101:$L$115,0),MATCH(DA$102,$M$102:$Z$102,0))/INDEX(고양시_재차인원!$D$4:$H$35,MATCH("고양시",고양시_재차인원!$B$4:$B$35,0),MATCH($CX$101,고양시_재차인원!$D$4:$H$4,0))</f>
        <v>27.254986373358783</v>
      </c>
      <c r="DB105" s="267">
        <f>INDEX($AA$101:$AN$115,MATCH($CW105,$L$101:$L$115,0),MATCH(DB$102,$AA$102:$AN$102,0))/INDEX(고양시_재차인원!$D$4:$H$35,MATCH("고양시",고양시_재차인원!$B$4:$B$35,0),MATCH($DB$101,고양시_재차인원!$D$4:$H$4,0))</f>
        <v>2621.6614906345658</v>
      </c>
      <c r="DC105" s="267">
        <f>INDEX($AA$101:$AN$115,MATCH($CW105,$L$101:$L$115,0),MATCH(DC$102,$AA$102:$AN$102,0))/INDEX(고양시_재차인원!$K$4:$O$20,MATCH("경기도",고양시_재차인원!$K$4:$K$20,0),MATCH(DC$102,고양시_재차인원!$K$4:$O$4,0))</f>
        <v>2.7301033245536795E-2</v>
      </c>
      <c r="DD105" s="267">
        <f>INDEX($AA$101:$AN$115,MATCH($CW105,$L$101:$L$115,0),MATCH(DD$102,$AA$102:$AN$102,0))/INDEX(고양시_재차인원!$K$4:$O$20,MATCH("경기도",고양시_재차인원!$K$4:$K$20,0),MATCH(DD$102,고양시_재차인원!$K$4:$O$4,0))</f>
        <v>7.5896872422592283</v>
      </c>
      <c r="DE105" s="267">
        <f>INDEX($AA$101:$AN$115,MATCH($CW105,$L$101:$L$115,0),MATCH(DE$102,$AA$102:$AN$102,0))/INDEX(고양시_재차인원!$D$4:$H$35,MATCH("고양시",고양시_재차인원!$B$4:$B$35,0),MATCH($DB$101,고양시_재차인원!$D$4:$H$4,0))</f>
        <v>168.34823945814136</v>
      </c>
      <c r="DF105" s="267">
        <f>INDEX($AO$101:$BB$115,MATCH($CW105,$L$101:$L$115,0),MATCH(DF$102,$AO$102:$BB$102,0))/INDEX(고양시_재차인원!$D$4:$H$35,MATCH("고양시",고양시_재차인원!$B$4:$B$35,0),MATCH($DF$101,고양시_재차인원!$D$4:$H$4,0))</f>
        <v>126.03889269790727</v>
      </c>
      <c r="DG105" s="267">
        <f>INDEX($AO$101:$BB$115,MATCH($CW105,$L$101:$L$115,0),MATCH(DG$102,$AO$102:$BB$102,0))/INDEX(고양시_재차인원!$K$4:$O$20,MATCH("경기도",고양시_재차인원!$K$4:$K$20,0),MATCH(DG$102,고양시_재차인원!$K$4:$O$4,0))</f>
        <v>1.2101279386106407E-3</v>
      </c>
      <c r="DH105" s="267">
        <f>INDEX($AO$101:$BB$115,MATCH($CW105,$L$101:$L$115,0),MATCH(DH$102,$AO$102:$BB$102,0))/INDEX(고양시_재차인원!$K$4:$O$20,MATCH("경기도",고양시_재차인원!$K$4:$K$20,0),MATCH(DH$102,고양시_재차인원!$K$4:$O$4,0))</f>
        <v>0.33641556693375813</v>
      </c>
      <c r="DI105" s="267">
        <f>INDEX($AO$101:$BB$115,MATCH($CW105,$L$101:$L$115,0),MATCH(DI$102,$AO$102:$BB$102,0))/INDEX(고양시_재차인원!$D$4:$H$35,MATCH("고양시",고양시_재차인원!$B$4:$B$35,0),MATCH($DF$101,고양시_재차인원!$D$4:$H$4,0))</f>
        <v>8.0935032096040818</v>
      </c>
      <c r="DJ105" s="267">
        <f>INDEX($BC$101:$BP$115,MATCH($CW105,$L$101:$L$115,0),MATCH(DJ$102,$BC$102:$BP$102,0))/INDEX(고양시_재차인원!$D$4:$H$35,MATCH("고양시",고양시_재차인원!$B$4:$B$35,0),MATCH($DJ$101,고양시_재차인원!$D$4:$H$4,0))</f>
        <v>0.32672095814013724</v>
      </c>
      <c r="DK105" s="267">
        <f>INDEX($BC$101:$BP$115,MATCH($CW105,$L$101:$L$115,0),MATCH(DK$102,$BC$102:$BP$102,0))/INDEX(고양시_재차인원!$K$4:$O$20,MATCH("경기도",고양시_재차인원!$K$4:$K$20,0),MATCH(DK$102,고양시_재차인원!$K$4:$O$4,0))</f>
        <v>3.2817028843678276E-6</v>
      </c>
      <c r="DL105" s="267">
        <f>INDEX($BC$101:$BP$115,MATCH($CW105,$L$101:$L$115,0),MATCH(DL$102,$BC$102:$BP$102,0))/INDEX(고양시_재차인원!$K$4:$O$20,MATCH("경기도",고양시_재차인원!$K$4:$K$20,0),MATCH(DL$102,고양시_재차인원!$K$4:$O$4,0))</f>
        <v>9.1231340185425603E-4</v>
      </c>
      <c r="DM105" s="267">
        <f>INDEX($BC$101:$BP$115,MATCH($CW105,$L$101:$L$115,0),MATCH(DM$102,$BC$102:$BP$102,0))/INDEX(고양시_재차인원!$D$4:$H$35,MATCH("고양시",고양시_재차인원!$B$4:$B$35,0),MATCH($DJ$101,고양시_재차인원!$D$4:$H$4,0))</f>
        <v>2.0980167841446195E-2</v>
      </c>
      <c r="DN105" s="267">
        <f>INDEX($BQ$101:$CD$115,MATCH($CW105,$L$101:$L$115,0),MATCH(DN$102,$BQ$102:$CD$102,0))/INDEX(고양시_재차인원!$D$4:$H$35,MATCH("고양시",고양시_재차인원!$B$4:$B$35,0),MATCH($DN$101,고양시_재차인원!$D$4:$H$4,0))</f>
        <v>0.99917837992063452</v>
      </c>
      <c r="DO105" s="267">
        <f>INDEX($BQ$101:$CD$115,MATCH($CW105,$L$101:$L$115,0),MATCH(DO$102,$BQ$102:$CD$102,0))/INDEX(고양시_재차인원!$K$4:$O$20,MATCH("경기도",고양시_재차인원!$K$4:$K$20,0),MATCH(DO$102,고양시_재차인원!$K$4:$O$4,0))</f>
        <v>9.2981581723755402E-6</v>
      </c>
      <c r="DP105" s="267">
        <f>INDEX($BQ$101:$CD$115,MATCH($CW105,$L$101:$L$115,0),MATCH(DP$102,$BQ$102:$CD$102,0))/INDEX(고양시_재차인원!$K$4:$O$20,MATCH("경기도",고양시_재차인원!$K$4:$K$20,0),MATCH(DP$102,고양시_재차인원!$K$4:$O$4,0))</f>
        <v>2.5848879719204002E-3</v>
      </c>
      <c r="DQ105" s="267">
        <f>INDEX($BQ$101:$CD$115,MATCH($CW105,$L$101:$L$115,0),MATCH(DQ$102,$BQ$102:$CD$102,0))/INDEX(고양시_재차인원!$D$4:$H$35,MATCH("고양시",고양시_재차인원!$B$4:$B$35,0),MATCH($DN$101,고양시_재차인원!$D$4:$H$4,0))</f>
        <v>6.4161571493946759E-2</v>
      </c>
      <c r="DR105" s="270">
        <f t="shared" si="53"/>
        <v>3173.4640340410842</v>
      </c>
      <c r="DS105" s="270">
        <f t="shared" si="48"/>
        <v>3.2034616180997032E-2</v>
      </c>
      <c r="DT105" s="270">
        <f t="shared" si="48"/>
        <v>8.9056232983171739</v>
      </c>
      <c r="DU105" s="270">
        <f t="shared" si="48"/>
        <v>203.78187078043962</v>
      </c>
      <c r="DW105" s="278"/>
      <c r="DX105" s="278" t="s">
        <v>669</v>
      </c>
      <c r="DY105" s="281">
        <f t="shared" si="54"/>
        <v>3377.2459048215237</v>
      </c>
      <c r="DZ105" s="281">
        <f t="shared" si="55"/>
        <v>8.9376579144981712</v>
      </c>
      <c r="EB105" s="278"/>
      <c r="EC105" s="278" t="s">
        <v>669</v>
      </c>
      <c r="ED105" s="281">
        <f t="shared" si="56"/>
        <v>3377.2459048215237</v>
      </c>
      <c r="EE105" s="281">
        <f t="shared" si="49"/>
        <v>8.9376579144981712</v>
      </c>
      <c r="EL105" s="306" t="s">
        <v>12</v>
      </c>
      <c r="EM105" s="306" t="s">
        <v>359</v>
      </c>
      <c r="EN105" s="306">
        <v>5055.2204000000002</v>
      </c>
      <c r="EO105" s="306">
        <v>7.5479196375319413E-2</v>
      </c>
      <c r="EP105" s="307">
        <v>849103</v>
      </c>
      <c r="EQ105" s="308">
        <f t="shared" si="57"/>
        <v>15.572262814348408</v>
      </c>
      <c r="ER105" s="308">
        <f t="shared" si="58"/>
        <v>4.1210963581481283E-2</v>
      </c>
      <c r="ET105" s="420" t="s">
        <v>12</v>
      </c>
      <c r="EU105" s="420" t="s">
        <v>359</v>
      </c>
      <c r="EV105" s="420">
        <v>5055.2204000000002</v>
      </c>
      <c r="EW105" s="420">
        <v>7.5479196375319413E-2</v>
      </c>
      <c r="EX105" s="421">
        <v>849103</v>
      </c>
      <c r="EY105" s="422">
        <f t="shared" si="59"/>
        <v>15.128453324139478</v>
      </c>
      <c r="EZ105" s="422">
        <f t="shared" si="60"/>
        <v>4.0036451119409067E-2</v>
      </c>
      <c r="FA105">
        <v>0</v>
      </c>
      <c r="FD105" s="306" t="s">
        <v>12</v>
      </c>
      <c r="FE105" s="306" t="s">
        <v>359</v>
      </c>
      <c r="FF105" s="306">
        <v>5055.2204000000002</v>
      </c>
      <c r="FG105" s="306">
        <v>7.5479196375319413E-2</v>
      </c>
      <c r="FH105" s="307">
        <v>849103</v>
      </c>
      <c r="FI105" s="308">
        <f t="shared" si="61"/>
        <v>15.128453324139478</v>
      </c>
      <c r="FJ105" s="308">
        <f t="shared" si="50"/>
        <v>4.0036451119409067E-2</v>
      </c>
      <c r="FL105" s="101"/>
      <c r="FM105" s="101"/>
      <c r="FN105" s="101"/>
      <c r="FO105" s="101"/>
      <c r="FP105" s="374"/>
      <c r="FQ105" s="404"/>
      <c r="FR105" s="404"/>
    </row>
    <row r="106" spans="1:174" ht="25">
      <c r="A106" s="205"/>
      <c r="B106" s="205" t="s">
        <v>671</v>
      </c>
      <c r="C106" s="400">
        <f>$AB64*KTDB_TripDistribution_2035!L$12 * (1+KTDB_발생량도착량_증가율!$C$8*2) * (1+KTDB_발생량도착량_증가율!$D$7*5) * (1+KTDB_발생량도착량_증가율!$E$7*5)</f>
        <v>162.53589399283115</v>
      </c>
      <c r="D106" s="400">
        <f>$AB64*KTDB_TripDistribution_2035!M$12 * (1+KTDB_발생량도착량_증가율!$C$8*2) * (1+KTDB_발생량도착량_증가율!$D$7*5) * (1+KTDB_발생량도착량_증가율!$E$7*5)</f>
        <v>1263.9007865169319</v>
      </c>
      <c r="E106" s="400">
        <f>$AB64*KTDB_TripDistribution_2035!N$12 * (1+KTDB_발생량도착량_증가율!$C$8*2) * (1+KTDB_발생량도착량_증가율!$D$7*5) * (1+KTDB_발생량도착량_증가율!$E$7*5)</f>
        <v>56.022848646072546</v>
      </c>
      <c r="F106" s="400">
        <f>$AB64*KTDB_TripDistribution_2035!O$12 * (1+KTDB_발생량도착량_증가율!$C$8*2) * (1+KTDB_발생량도착량_증가율!$D$7*5) * (1+KTDB_발생량도착량_증가율!$E$7*5)</f>
        <v>0.15192636920968769</v>
      </c>
      <c r="G106" s="400">
        <f>$AB64*KTDB_TripDistribution_2035!P$12 * (1+KTDB_발생량도착량_증가율!$C$8*2) * (1+KTDB_발생량도착량_증가율!$D$7*5) * (1+KTDB_발생량도착량_증가율!$E$7*5)</f>
        <v>0.43045804609411642</v>
      </c>
      <c r="H106" s="400">
        <f>$AB64*KTDB_TripDistribution_2035!Q$12 * (1+KTDB_발생량도착량_증가율!$C$8*2) * (1+KTDB_발생량도착량_증가율!$D$7*5) * (1+KTDB_발생량도착량_증가율!$E$7*5)</f>
        <v>1483.0419135711395</v>
      </c>
      <c r="J106" s="230">
        <f t="shared" si="46"/>
        <v>1483.0419135711395</v>
      </c>
      <c r="K106" s="206"/>
      <c r="L106" s="206" t="s">
        <v>671</v>
      </c>
      <c r="M106" s="206">
        <f>INDEX($A$102:$H$115,MATCH($L106,$B$102:$B$115,0),MATCH($M$101,$A$102:$H$102,0))*고양시_Modal_split!C$3 * 0.01</f>
        <v>0.45510050317992717</v>
      </c>
      <c r="N106" s="206">
        <f>INDEX($A$102:$H$115,MATCH($L106,$B$102:$B$115,0),MATCH($M$101,$A$102:$H$102,0))*고양시_Modal_split!D$3 * 0.01</f>
        <v>76.440630944828499</v>
      </c>
      <c r="O106" s="206">
        <f>INDEX($A$102:$H$115,MATCH($L106,$B$102:$B$115,0),MATCH($M$101,$A$102:$H$102,0))*고양시_Modal_split!E$3 * 0.01</f>
        <v>9.248292368192093</v>
      </c>
      <c r="P106" s="206">
        <f>INDEX($A$102:$H$115,MATCH($L106,$B$102:$B$115,0),MATCH($M$101,$A$102:$H$102,0))*고양시_Modal_split!F$3 * 0.01</f>
        <v>14.904541479142615</v>
      </c>
      <c r="Q106" s="206">
        <f>INDEX($A$102:$H$115,MATCH($L106,$B$102:$B$115,0),MATCH($M$101,$A$102:$H$102,0))*고양시_Modal_split!G$3 * 0.01</f>
        <v>1.4953302247340465</v>
      </c>
      <c r="R106" s="206">
        <f>INDEX($A$102:$H$115,MATCH($L106,$B$102:$B$115,0),MATCH($M$101,$A$102:$H$102,0))*고양시_Modal_split!H$3 * 0.01</f>
        <v>1.6253589399283116E-2</v>
      </c>
      <c r="S106" s="206">
        <f>INDEX($A$102:$H$115,MATCH($L106,$B$102:$B$115,0),MATCH($M$101,$A$102:$H$102,0))*고양시_Modal_split!I$3 * 0.01</f>
        <v>4.5184978530007056</v>
      </c>
      <c r="T106" s="206">
        <f>INDEX($A$102:$H$115,MATCH($L106,$B$102:$B$115,0),MATCH($M$101,$A$102:$H$102,0))*고양시_Modal_split!J$3 * 0.01</f>
        <v>49.4759261314178</v>
      </c>
      <c r="U106" s="206">
        <f>INDEX($A$102:$H$115,MATCH($L106,$B$102:$B$115,0),MATCH($M$101,$A$102:$H$102,0))*고양시_Modal_split!K$3 * 0.01</f>
        <v>0.24380384098924673</v>
      </c>
      <c r="V106" s="206">
        <f>INDEX($A$102:$H$115,MATCH($L106,$B$102:$B$115,0),MATCH($M$101,$A$102:$H$102,0))*고양시_Modal_split!L$3 * 0.01</f>
        <v>4.9085839985835014</v>
      </c>
      <c r="W106" s="206">
        <f>INDEX($A$102:$H$115,MATCH($L106,$B$102:$B$115,0),MATCH($M$101,$A$102:$H$102,0))*고양시_Modal_split!M$3 * 0.01</f>
        <v>0.37383255618351163</v>
      </c>
      <c r="X106" s="206">
        <f>INDEX($A$102:$H$115,MATCH($L106,$B$102:$B$115,0),MATCH($M$101,$A$102:$H$102,0))*고양시_Modal_split!N$3 * 0.01</f>
        <v>0.16253589399283117</v>
      </c>
      <c r="Y106" s="206">
        <f>INDEX($A$102:$H$115,MATCH($L106,$B$102:$B$115,0),MATCH($M$101,$A$102:$H$102,0))*고양시_Modal_split!O$3 * 0.01</f>
        <v>0.29256460918709609</v>
      </c>
      <c r="Z106" s="209">
        <f>INDEX($A$102:$H$115,MATCH($L106,$B$102:$B$115,0),MATCH($M$101,$A$102:$H$102,0))*고양시_Modal_split!P$3 * 0.01</f>
        <v>162.53589399283115</v>
      </c>
      <c r="AA106" s="207">
        <f>INDEX($A$102:$H$115,MATCH($L106,$B$102:$B$115,0),MATCH($AA$101,$A$102:$H$102,0))*고양시_Modal_split!C$3 * 0.01</f>
        <v>3.5389222022474094</v>
      </c>
      <c r="AB106" s="207">
        <f>INDEX($A$102:$H$115,MATCH($L106,$B$102:$B$115,0),MATCH($AA$101,$A$102:$H$102,0))*고양시_Modal_split!D$3 * 0.01</f>
        <v>594.41253989891311</v>
      </c>
      <c r="AC106" s="207">
        <f>INDEX($A$102:$H$115,MATCH($L106,$B$102:$B$115,0),MATCH($AA$101,$A$102:$H$102,0))*고양시_Modal_split!E$3 * 0.01</f>
        <v>71.91595475281342</v>
      </c>
      <c r="AD106" s="207">
        <f>INDEX($A$102:$H$115,MATCH($L106,$B$102:$B$115,0),MATCH($AA$101,$A$102:$H$102,0))*고양시_Modal_split!F$3 * 0.01</f>
        <v>115.89970212360265</v>
      </c>
      <c r="AE106" s="207">
        <f>INDEX($A$102:$H$115,MATCH($L106,$B$102:$B$115,0),MATCH($AA$101,$A$102:$H$102,0))*고양시_Modal_split!G$3 * 0.01</f>
        <v>11.627887235955773</v>
      </c>
      <c r="AF106" s="207">
        <f>INDEX($A$102:$H$115,MATCH($L106,$B$102:$B$115,0),MATCH($AA$101,$A$102:$H$102,0))*고양시_Modal_split!H$3 * 0.01</f>
        <v>0.12639007865169319</v>
      </c>
      <c r="AG106" s="207">
        <f>INDEX($A$102:$H$115,MATCH($L106,$B$102:$B$115,0),MATCH($AA$101,$A$102:$H$102,0))*고양시_Modal_split!I$3 * 0.01</f>
        <v>35.136441865170703</v>
      </c>
      <c r="AH106" s="207">
        <f>INDEX($A$102:$H$115,MATCH($L106,$B$102:$B$115,0),MATCH($AA$101,$A$102:$H$102,0))*고양시_Modal_split!J$3 * 0.01</f>
        <v>384.73139941575414</v>
      </c>
      <c r="AI106" s="207">
        <f>INDEX($A$102:$H$115,MATCH($L106,$B$102:$B$115,0),MATCH($AA$101,$A$102:$H$102,0))*고양시_Modal_split!K$3 * 0.01</f>
        <v>1.8958511797753981</v>
      </c>
      <c r="AJ106" s="207">
        <f>INDEX($A$102:$H$115,MATCH($L106,$B$102:$B$115,0),MATCH($AA$101,$A$102:$H$102,0))*고양시_Modal_split!L$3 * 0.01</f>
        <v>38.169803752811347</v>
      </c>
      <c r="AK106" s="207">
        <f>INDEX($A$102:$H$115,MATCH($L106,$B$102:$B$115,0),MATCH($AA$101,$A$102:$H$102,0))*고양시_Modal_split!M$3 * 0.01</f>
        <v>2.9069718089889434</v>
      </c>
      <c r="AL106" s="207">
        <f>INDEX($A$102:$H$115,MATCH($L106,$B$102:$B$115,0),MATCH($AA$101,$A$102:$H$102,0))*고양시_Modal_split!N$3 * 0.01</f>
        <v>1.2639007865169321</v>
      </c>
      <c r="AM106" s="207">
        <f>INDEX($A$102:$H$115,MATCH($L106,$B$102:$B$115,0),MATCH($AA$101,$A$102:$H$102,0))*고양시_Modal_split!O$3 * 0.01</f>
        <v>2.2750214157304773</v>
      </c>
      <c r="AN106" s="207">
        <f>INDEX($A$102:$H$115,MATCH($L106,$B$102:$B$115,0),MATCH($AA$101,$A$102:$H$102,0))*고양시_Modal_split!P$3 * 0.01</f>
        <v>1263.9007865169319</v>
      </c>
      <c r="AO106" s="303">
        <f>INDEX($A$102:$H$115,MATCH($L106,$B$102:$B$115,0),MATCH($AO$101,$A$102:$H$102,0))*고양시_Modal_split!C$3 * 0.01</f>
        <v>0.15686397620900314</v>
      </c>
      <c r="AP106" s="303">
        <f>INDEX($A$102:$H$115,MATCH($L106,$B$102:$B$115,0),MATCH($AO$101,$A$102:$H$102,0))*고양시_Modal_split!D$3 * 0.01</f>
        <v>26.347545718247922</v>
      </c>
      <c r="AQ106" s="303">
        <f>INDEX($A$102:$H$115,MATCH($L106,$B$102:$B$115,0),MATCH($AO$101,$A$102:$H$102,0))*고양시_Modal_split!E$3 * 0.01</f>
        <v>3.1877000879615274</v>
      </c>
      <c r="AR106" s="303">
        <f>INDEX($A$102:$H$115,MATCH($L106,$B$102:$B$115,0),MATCH($AO$101,$A$102:$H$102,0))*고양시_Modal_split!F$3 * 0.01</f>
        <v>5.1372952208448526</v>
      </c>
      <c r="AS106" s="303">
        <f>INDEX($A$102:$H$115,MATCH($L106,$B$102:$B$115,0),MATCH($AO$101,$A$102:$H$102,0))*고양시_Modal_split!G$3 * 0.01</f>
        <v>0.51541020754386735</v>
      </c>
      <c r="AT106" s="303">
        <f>INDEX($A$102:$H$115,MATCH($L106,$B$102:$B$115,0),MATCH($AO$101,$A$102:$H$102,0))*고양시_Modal_split!H$3 * 0.01</f>
        <v>5.6022848646072546E-3</v>
      </c>
      <c r="AU106" s="303">
        <f>INDEX($A$102:$H$115,MATCH($L106,$B$102:$B$115,0),MATCH($AO$101,$A$102:$H$102,0))*고양시_Modal_split!I$3 * 0.01</f>
        <v>1.557435192360817</v>
      </c>
      <c r="AV106" s="303">
        <f>INDEX($A$102:$H$115,MATCH($L106,$B$102:$B$115,0),MATCH($AO$101,$A$102:$H$102,0))*고양시_Modal_split!J$3 * 0.01</f>
        <v>17.053355127864485</v>
      </c>
      <c r="AW106" s="303">
        <f>INDEX($A$102:$H$115,MATCH($L106,$B$102:$B$115,0),MATCH($AO$101,$A$102:$H$102,0))*고양시_Modal_split!K$3 * 0.01</f>
        <v>8.4034272969108828E-2</v>
      </c>
      <c r="AX106" s="303">
        <f>INDEX($A$102:$H$115,MATCH($L106,$B$102:$B$115,0),MATCH($AO$101,$A$102:$H$102,0))*고양시_Modal_split!L$3 * 0.01</f>
        <v>1.691890029111391</v>
      </c>
      <c r="AY106" s="303">
        <f>INDEX($A$102:$H$115,MATCH($L106,$B$102:$B$115,0),MATCH($AO$101,$A$102:$H$102,0))*고양시_Modal_split!M$3 * 0.01</f>
        <v>0.12885255188596684</v>
      </c>
      <c r="AZ106" s="303">
        <f>INDEX($A$102:$H$115,MATCH($L106,$B$102:$B$115,0),MATCH($AO$101,$A$102:$H$102,0))*고양시_Modal_split!N$3 * 0.01</f>
        <v>5.602284864607255E-2</v>
      </c>
      <c r="BA106" s="207">
        <f>INDEX($A$102:$H$115,MATCH($L106,$B$102:$B$115,0),MATCH($AO$101,$A$102:$H$102,0))*고양시_Modal_split!O$3 * 0.01</f>
        <v>0.10084112756293058</v>
      </c>
      <c r="BB106" s="207">
        <f>INDEX($A$102:$H$115,MATCH($L106,$B$102:$B$115,0),MATCH($AO$101,$A$102:$H$102,0))*고양시_Modal_split!P$3 * 0.01</f>
        <v>56.022848646072546</v>
      </c>
      <c r="BC106" s="207">
        <f>INDEX($A$102:$H$115,MATCH($L106,$B$102:$B$115,0),MATCH($BC$101,$A$102:$H$102,0))*고양시_Modal_split!C$3 * 0.01</f>
        <v>4.2539383378712548E-4</v>
      </c>
      <c r="BD106" s="207">
        <f>INDEX($A$102:$H$115,MATCH($L106,$B$102:$B$115,0),MATCH($BC$101,$A$102:$H$102,0))*고양시_Modal_split!D$3 * 0.01</f>
        <v>7.1450971439316127E-2</v>
      </c>
      <c r="BE106" s="207">
        <f>INDEX($A$102:$H$115,MATCH($L106,$B$102:$B$115,0),MATCH($BC$101,$A$102:$H$102,0))*고양시_Modal_split!E$3 * 0.01</f>
        <v>8.6446104080312291E-3</v>
      </c>
      <c r="BF106" s="207">
        <f>INDEX($A$102:$H$115,MATCH($L106,$B$102:$B$115,0),MATCH($BC$101,$A$102:$H$102,0))*고양시_Modal_split!F$3 * 0.01</f>
        <v>1.3931648056528361E-2</v>
      </c>
      <c r="BG106" s="207">
        <f>INDEX($A$102:$H$115,MATCH($L106,$B$102:$B$115,0),MATCH($BC$101,$A$102:$H$102,0))*고양시_Modal_split!G$3 * 0.01</f>
        <v>1.3977225967291265E-3</v>
      </c>
      <c r="BH106" s="207">
        <f>INDEX($A$102:$H$115,MATCH($L106,$B$102:$B$115,0),MATCH($BC$101,$A$102:$H$102,0))*고양시_Modal_split!H$3 * 0.01</f>
        <v>1.5192636920968769E-5</v>
      </c>
      <c r="BI106" s="207">
        <f>INDEX($A$102:$H$115,MATCH($L106,$B$102:$B$115,0),MATCH($BC$101,$A$102:$H$102,0))*고양시_Modal_split!I$3 * 0.01</f>
        <v>4.2235530640293171E-3</v>
      </c>
      <c r="BJ106" s="207">
        <f>INDEX($A$102:$H$115,MATCH($L106,$B$102:$B$115,0),MATCH($BC$101,$A$102:$H$102,0))*고양시_Modal_split!J$3 * 0.01</f>
        <v>4.6246386787428928E-2</v>
      </c>
      <c r="BK106" s="207">
        <f>INDEX($A$102:$H$115,MATCH($L106,$B$102:$B$115,0),MATCH($BC$101,$A$102:$H$102,0))*고양시_Modal_split!K$3 * 0.01</f>
        <v>2.2788955381453153E-4</v>
      </c>
      <c r="BL106" s="207">
        <f>INDEX($A$102:$H$115,MATCH($L106,$B$102:$B$115,0),MATCH($BC$101,$A$102:$H$102,0))*고양시_Modal_split!L$3 * 0.01</f>
        <v>4.5881763501325681E-3</v>
      </c>
      <c r="BM106" s="207">
        <f>INDEX($A$102:$H$115,MATCH($L106,$B$102:$B$115,0),MATCH($BC$101,$A$102:$H$102,0))*고양시_Modal_split!M$3 * 0.01</f>
        <v>3.4943064918228163E-4</v>
      </c>
      <c r="BN106" s="207">
        <f>INDEX($A$102:$H$115,MATCH($L106,$B$102:$B$115,0),MATCH($BC$101,$A$102:$H$102,0))*고양시_Modal_split!N$3 * 0.01</f>
        <v>1.5192636920968768E-4</v>
      </c>
      <c r="BO106" s="207">
        <f>INDEX($A$102:$H$115,MATCH($L106,$B$102:$B$115,0),MATCH($BC$101,$A$102:$H$102,0))*고양시_Modal_split!O$3 * 0.01</f>
        <v>2.7346746457743783E-4</v>
      </c>
      <c r="BP106" s="207">
        <f>INDEX($A$102:$H$115,MATCH($L106,$B$102:$B$115,0),MATCH($BC$101,$A$102:$H$102,0))*고양시_Modal_split!P$3 * 0.01</f>
        <v>0.15192636920968769</v>
      </c>
      <c r="BQ106" s="207">
        <f>INDEX($A$102:$H$115,MATCH($L106,$B$102:$B$115,0),MATCH($BQ$101,$A$102:$H$102,0))*고양시_Modal_split!C$3 * 0.01</f>
        <v>1.2052825290635259E-3</v>
      </c>
      <c r="BR106" s="207">
        <f>INDEX($A$102:$H$115,MATCH($L106,$B$102:$B$115,0),MATCH($BQ$101,$A$102:$H$102,0))*고양시_Modal_split!D$3 * 0.01</f>
        <v>0.20244441907806296</v>
      </c>
      <c r="BS106" s="207">
        <f>INDEX($A$102:$H$115,MATCH($L106,$B$102:$B$115,0),MATCH($BQ$101,$A$102:$H$102,0))*고양시_Modal_split!E$3 * 0.01</f>
        <v>2.4493062822755221E-2</v>
      </c>
      <c r="BT106" s="207">
        <f>INDEX($A$102:$H$115,MATCH($L106,$B$102:$B$115,0),MATCH($BQ$101,$A$102:$H$102,0))*고양시_Modal_split!F$3 * 0.01</f>
        <v>3.9473002826830472E-2</v>
      </c>
      <c r="BU106" s="207">
        <f>INDEX($A$102:$H$115,MATCH($L106,$B$102:$B$115,0),MATCH($BQ$101,$A$102:$H$102,0))*고양시_Modal_split!G$3 * 0.01</f>
        <v>3.9602140240658709E-3</v>
      </c>
      <c r="BV106" s="207">
        <f>INDEX($A$102:$H$115,MATCH($L106,$B$102:$B$115,0),MATCH($BQ$101,$A$102:$H$102,0))*고양시_Modal_split!H$3 * 0.01</f>
        <v>4.3045804609411642E-5</v>
      </c>
      <c r="BW106" s="207">
        <f>INDEX($A$102:$H$115,MATCH($L106,$B$102:$B$115,0),MATCH($BQ$101,$A$102:$H$102,0))*고양시_Modal_split!I$3 * 0.01</f>
        <v>1.1966733681416436E-2</v>
      </c>
      <c r="BX106" s="207">
        <f>INDEX($A$102:$H$115,MATCH($L106,$B$102:$B$115,0),MATCH($BQ$101,$A$102:$H$102,0))*고양시_Modal_split!J$3 * 0.01</f>
        <v>0.13103142923104905</v>
      </c>
      <c r="BY106" s="207">
        <f>INDEX($A$102:$H$115,MATCH($L106,$B$102:$B$115,0),MATCH($BQ$101,$A$102:$H$102,0))*고양시_Modal_split!K$3 * 0.01</f>
        <v>6.4568706914117471E-4</v>
      </c>
      <c r="BZ106" s="207">
        <f>INDEX($A$102:$H$115,MATCH($L106,$B$102:$B$115,0),MATCH($BQ$101,$A$102:$H$102,0))*고양시_Modal_split!L$3 * 0.01</f>
        <v>1.2999832992042316E-2</v>
      </c>
      <c r="CA106" s="207">
        <f>INDEX($A$102:$H$115,MATCH($L106,$B$102:$B$115,0),MATCH($BQ$101,$A$102:$H$102,0))*고양시_Modal_split!M$3 * 0.01</f>
        <v>9.9005350601646773E-4</v>
      </c>
      <c r="CB106" s="207">
        <f>INDEX($A$102:$H$115,MATCH($L106,$B$102:$B$115,0),MATCH($BQ$101,$A$102:$H$102,0))*고양시_Modal_split!N$3 * 0.01</f>
        <v>4.3045804609411647E-4</v>
      </c>
      <c r="CC106" s="207">
        <f>INDEX($A$102:$H$115,MATCH($L106,$B$102:$B$115,0),MATCH($BQ$101,$A$102:$H$102,0))*고양시_Modal_split!O$3 * 0.01</f>
        <v>7.748244829694096E-4</v>
      </c>
      <c r="CD106" s="207">
        <f>INDEX($A$102:$H$115,MATCH($L106,$B$102:$B$115,0),MATCH($BQ$101,$A$102:$H$102,0))*고양시_Modal_split!P$3 * 0.01</f>
        <v>0.43045804609411642</v>
      </c>
      <c r="CE106" s="304">
        <f t="shared" si="51"/>
        <v>4.1525173579991908</v>
      </c>
      <c r="CF106" s="304">
        <f t="shared" si="47"/>
        <v>697.47461195250696</v>
      </c>
      <c r="CG106" s="304">
        <f t="shared" si="47"/>
        <v>84.38508488219783</v>
      </c>
      <c r="CH106" s="304">
        <f t="shared" si="47"/>
        <v>135.9949434744735</v>
      </c>
      <c r="CI106" s="304">
        <f t="shared" si="47"/>
        <v>13.643985604854482</v>
      </c>
      <c r="CJ106" s="304">
        <f t="shared" si="47"/>
        <v>0.14830419135711392</v>
      </c>
      <c r="CK106" s="304">
        <f t="shared" si="47"/>
        <v>41.228565197277668</v>
      </c>
      <c r="CL106" s="304">
        <f t="shared" si="47"/>
        <v>451.43795849105487</v>
      </c>
      <c r="CM106" s="304">
        <f t="shared" si="47"/>
        <v>2.2245628703567095</v>
      </c>
      <c r="CN106" s="304">
        <f t="shared" si="47"/>
        <v>44.787865789848418</v>
      </c>
      <c r="CO106" s="304">
        <f t="shared" si="47"/>
        <v>3.4109964012136205</v>
      </c>
      <c r="CP106" s="304">
        <f t="shared" si="47"/>
        <v>1.4830419135711397</v>
      </c>
      <c r="CQ106" s="304">
        <f t="shared" si="47"/>
        <v>2.6694754444280502</v>
      </c>
      <c r="CR106" s="304">
        <f t="shared" si="47"/>
        <v>1483.0419135711395</v>
      </c>
      <c r="CS106" s="305">
        <f t="shared" si="52"/>
        <v>0</v>
      </c>
      <c r="CV106" s="265"/>
      <c r="CW106" s="265" t="s">
        <v>671</v>
      </c>
      <c r="CX106" s="267">
        <f>INDEX($M$101:$Z$115,MATCH($CW106,$L$101:$L$115,0),MATCH(CX$102,$M$102:$Z$102,0))/INDEX(고양시_재차인원!$D$4:$H$35,MATCH("고양시",고양시_재차인원!$B$4:$B$35,0),MATCH($CX$101,고양시_재차인원!$D$4:$H$4,0))</f>
        <v>68.250563343596866</v>
      </c>
      <c r="CY106" s="267">
        <f>INDEX($M$101:$Z$115,MATCH($CW106,$L$101:$L$115,0),MATCH(CY$102,$M$102:$Z$102,0))/INDEX(고양시_재차인원!$K$4:$O$20,MATCH("경기도",고양시_재차인원!$K$4:$K$20,0),MATCH(CY$102,고양시_재차인원!$K$4:$O$4,0))</f>
        <v>5.6455676968680498E-4</v>
      </c>
      <c r="CZ106" s="267">
        <f>INDEX($M$101:$Z$115,MATCH($CW106,$L$101:$L$115,0),MATCH(CZ$102,$M$102:$Z$102,0))/INDEX(고양시_재차인원!$K$4:$O$20,MATCH("경기도",고양시_재차인원!$K$4:$K$20,0),MATCH(CZ$102,고양시_재차인원!$K$4:$O$4,0))</f>
        <v>0.15694678197293177</v>
      </c>
      <c r="DA106" s="267">
        <f>INDEX($M$101:$Z$115,MATCH($CW106,$L$101:$L$115,0),MATCH(DA$102,$M$102:$Z$102,0))/INDEX(고양시_재차인원!$D$4:$H$35,MATCH("고양시",고양시_재차인원!$B$4:$B$35,0),MATCH($CX$101,고양시_재차인원!$D$4:$H$4,0))</f>
        <v>4.3826642844495547</v>
      </c>
      <c r="DB106" s="267">
        <f>INDEX($AA$101:$AN$115,MATCH($CW106,$L$101:$L$115,0),MATCH(DB$102,$AA$102:$AN$102,0))/INDEX(고양시_재차인원!$D$4:$H$35,MATCH("고양시",고양시_재차인원!$B$4:$B$35,0),MATCH($DB$101,고양시_재차인원!$D$4:$H$4,0))</f>
        <v>421.56917723327172</v>
      </c>
      <c r="DC106" s="267">
        <f>INDEX($AA$101:$AN$115,MATCH($CW106,$L$101:$L$115,0),MATCH(DC$102,$AA$102:$AN$102,0))/INDEX(고양시_재차인원!$K$4:$O$20,MATCH("경기도",고양시_재차인원!$K$4:$K$20,0),MATCH(DC$102,고양시_재차인원!$K$4:$O$4,0))</f>
        <v>4.3900687270473499E-3</v>
      </c>
      <c r="DD106" s="267">
        <f>INDEX($AA$101:$AN$115,MATCH($CW106,$L$101:$L$115,0),MATCH(DD$102,$AA$102:$AN$102,0))/INDEX(고양시_재차인원!$K$4:$O$20,MATCH("경기도",고양시_재차인원!$K$4:$K$20,0),MATCH(DD$102,고양시_재차인원!$K$4:$O$4,0))</f>
        <v>1.2204391061191631</v>
      </c>
      <c r="DE106" s="267">
        <f>INDEX($AA$101:$AN$115,MATCH($CW106,$L$101:$L$115,0),MATCH(DE$102,$AA$102:$AN$102,0))/INDEX(고양시_재차인원!$D$4:$H$35,MATCH("고양시",고양시_재차인원!$B$4:$B$35,0),MATCH($DB$101,고양시_재차인원!$D$4:$H$4,0))</f>
        <v>27.070782803412303</v>
      </c>
      <c r="DF106" s="267">
        <f>INDEX($AO$101:$BB$115,MATCH($CW106,$L$101:$L$115,0),MATCH(DF$102,$AO$102:$BB$102,0))/INDEX(고양시_재차인원!$D$4:$H$35,MATCH("고양시",고양시_재차인원!$B$4:$B$35,0),MATCH($DF$101,고양시_재차인원!$D$4:$H$4,0))</f>
        <v>20.267342860190709</v>
      </c>
      <c r="DG106" s="267">
        <f>INDEX($AO$101:$BB$115,MATCH($CW106,$L$101:$L$115,0),MATCH(DG$102,$AO$102:$BB$102,0))/INDEX(고양시_재차인원!$K$4:$O$20,MATCH("경기도",고양시_재차인원!$K$4:$K$20,0),MATCH(DG$102,고양시_재차인원!$K$4:$O$4,0))</f>
        <v>1.9459134646082857E-4</v>
      </c>
      <c r="DH106" s="267">
        <f>INDEX($AO$101:$BB$115,MATCH($CW106,$L$101:$L$115,0),MATCH(DH$102,$AO$102:$BB$102,0))/INDEX(고양시_재차인원!$K$4:$O$20,MATCH("경기도",고양시_재차인원!$K$4:$K$20,0),MATCH(DH$102,고양시_재차인원!$K$4:$O$4,0))</f>
        <v>5.4096394316110352E-2</v>
      </c>
      <c r="DI106" s="267">
        <f>INDEX($AO$101:$BB$115,MATCH($CW106,$L$101:$L$115,0),MATCH(DI$102,$AO$102:$BB$102,0))/INDEX(고양시_재차인원!$D$4:$H$35,MATCH("고양시",고양시_재차인원!$B$4:$B$35,0),MATCH($DF$101,고양시_재차인원!$D$4:$H$4,0))</f>
        <v>1.3014538685472237</v>
      </c>
      <c r="DJ106" s="267">
        <f>INDEX($BC$101:$BP$115,MATCH($CW106,$L$101:$L$115,0),MATCH(DJ$102,$BC$102:$BP$102,0))/INDEX(고양시_재차인원!$D$4:$H$35,MATCH("고양시",고양시_재차인원!$B$4:$B$35,0),MATCH($DJ$101,고양시_재차인원!$D$4:$H$4,0))</f>
        <v>5.253747899949715E-2</v>
      </c>
      <c r="DK106" s="267">
        <f>INDEX($BC$101:$BP$115,MATCH($CW106,$L$101:$L$115,0),MATCH(DK$102,$BC$102:$BP$102,0))/INDEX(고양시_재차인원!$K$4:$O$20,MATCH("경기도",고양시_재차인원!$K$4:$K$20,0),MATCH(DK$102,고양시_재차인원!$K$4:$O$4,0))</f>
        <v>5.2770534633444838E-7</v>
      </c>
      <c r="DL106" s="267">
        <f>INDEX($BC$101:$BP$115,MATCH($CW106,$L$101:$L$115,0),MATCH(DL$102,$BC$102:$BP$102,0))/INDEX(고양시_재차인원!$K$4:$O$20,MATCH("경기도",고양시_재차인원!$K$4:$K$20,0),MATCH(DL$102,고양시_재차인원!$K$4:$O$4,0))</f>
        <v>1.4670208628097663E-4</v>
      </c>
      <c r="DM106" s="267">
        <f>INDEX($BC$101:$BP$115,MATCH($CW106,$L$101:$L$115,0),MATCH(DM$102,$BC$102:$BP$102,0))/INDEX(고양시_재차인원!$D$4:$H$35,MATCH("고양시",고양시_재차인원!$B$4:$B$35,0),MATCH($DJ$101,고양시_재차인원!$D$4:$H$4,0))</f>
        <v>3.3736590809798294E-3</v>
      </c>
      <c r="DN106" s="267">
        <f>INDEX($BQ$101:$CD$115,MATCH($CW106,$L$101:$L$115,0),MATCH(DN$102,$BQ$102:$CD$102,0))/INDEX(고양시_재차인원!$D$4:$H$35,MATCH("고양시",고양시_재차인원!$B$4:$B$35,0),MATCH($DN$101,고양시_재차인원!$D$4:$H$4,0))</f>
        <v>0.16067017387147853</v>
      </c>
      <c r="DO106" s="267">
        <f>INDEX($BQ$101:$CD$115,MATCH($CW106,$L$101:$L$115,0),MATCH(DO$102,$BQ$102:$CD$102,0))/INDEX(고양시_재차인원!$K$4:$O$20,MATCH("경기도",고양시_재차인원!$K$4:$K$20,0),MATCH(DO$102,고양시_재차인원!$K$4:$O$4,0))</f>
        <v>1.4951651479476084E-6</v>
      </c>
      <c r="DP106" s="267">
        <f>INDEX($BQ$101:$CD$115,MATCH($CW106,$L$101:$L$115,0),MATCH(DP$102,$BQ$102:$CD$102,0))/INDEX(고양시_재차인원!$K$4:$O$20,MATCH("경기도",고양시_재차인원!$K$4:$K$20,0),MATCH(DP$102,고양시_재차인원!$K$4:$O$4,0))</f>
        <v>4.156559111294351E-4</v>
      </c>
      <c r="DQ106" s="267">
        <f>INDEX($BQ$101:$CD$115,MATCH($CW106,$L$101:$L$115,0),MATCH(DQ$102,$BQ$102:$CD$102,0))/INDEX(고양시_재차인원!$D$4:$H$35,MATCH("고양시",고양시_재차인원!$B$4:$B$35,0),MATCH($DN$101,고양시_재차인원!$D$4:$H$4,0))</f>
        <v>1.0317327771462156E-2</v>
      </c>
      <c r="DR106" s="270">
        <f t="shared" si="53"/>
        <v>510.30029108993028</v>
      </c>
      <c r="DS106" s="270">
        <f t="shared" si="48"/>
        <v>5.151239713689265E-3</v>
      </c>
      <c r="DT106" s="270">
        <f t="shared" si="48"/>
        <v>1.4320446404056155</v>
      </c>
      <c r="DU106" s="270">
        <f t="shared" si="48"/>
        <v>32.768591943261519</v>
      </c>
      <c r="DW106" s="278"/>
      <c r="DX106" s="278" t="s">
        <v>671</v>
      </c>
      <c r="DY106" s="281">
        <f t="shared" si="54"/>
        <v>543.06888303319181</v>
      </c>
      <c r="DZ106" s="281">
        <f t="shared" si="55"/>
        <v>1.4371958801193048</v>
      </c>
      <c r="EB106" s="278"/>
      <c r="EC106" s="278" t="s">
        <v>671</v>
      </c>
      <c r="ED106" s="281">
        <f t="shared" si="56"/>
        <v>543.06888303319181</v>
      </c>
      <c r="EE106" s="281">
        <f t="shared" si="49"/>
        <v>1.4371958801193048</v>
      </c>
      <c r="EL106" s="306" t="s">
        <v>12</v>
      </c>
      <c r="EM106" s="306" t="s">
        <v>360</v>
      </c>
      <c r="EN106" s="306">
        <v>6559.1377000000002</v>
      </c>
      <c r="EO106" s="306">
        <v>9.7934096505675777E-2</v>
      </c>
      <c r="EP106" s="307">
        <v>849104</v>
      </c>
      <c r="EQ106" s="308">
        <f t="shared" si="57"/>
        <v>20.20497782844458</v>
      </c>
      <c r="ER106" s="308">
        <f t="shared" si="58"/>
        <v>5.3471137456365093E-2</v>
      </c>
      <c r="ET106" s="420" t="s">
        <v>12</v>
      </c>
      <c r="EU106" s="420" t="s">
        <v>360</v>
      </c>
      <c r="EV106" s="420">
        <v>6559.1377000000002</v>
      </c>
      <c r="EW106" s="420">
        <v>9.7934096505675777E-2</v>
      </c>
      <c r="EX106" s="421">
        <v>849104</v>
      </c>
      <c r="EY106" s="422">
        <f t="shared" si="59"/>
        <v>19.629135960333912</v>
      </c>
      <c r="EZ106" s="422">
        <f t="shared" si="60"/>
        <v>5.1947210038858688E-2</v>
      </c>
      <c r="FA106">
        <v>0</v>
      </c>
      <c r="FD106" s="306" t="s">
        <v>12</v>
      </c>
      <c r="FE106" s="306" t="s">
        <v>360</v>
      </c>
      <c r="FF106" s="306">
        <v>6559.1377000000002</v>
      </c>
      <c r="FG106" s="306">
        <v>9.7934096505675777E-2</v>
      </c>
      <c r="FH106" s="307">
        <v>849104</v>
      </c>
      <c r="FI106" s="308">
        <f t="shared" si="61"/>
        <v>19.629135960333912</v>
      </c>
      <c r="FJ106" s="308">
        <f t="shared" si="50"/>
        <v>5.1947210038858688E-2</v>
      </c>
      <c r="FL106" s="101"/>
      <c r="FM106" s="101"/>
      <c r="FN106" s="101"/>
      <c r="FO106" s="101"/>
      <c r="FP106" s="374"/>
      <c r="FQ106" s="404"/>
      <c r="FR106" s="404"/>
    </row>
    <row r="107" spans="1:174" ht="25">
      <c r="A107" s="205"/>
      <c r="B107" s="205" t="s">
        <v>673</v>
      </c>
      <c r="C107" s="400">
        <f>$AB65*KTDB_TripDistribution_2035!L$12 * (1+KTDB_발생량도착량_증가율!$C$8*2) * (1+KTDB_발생량도착량_증가율!$D$7*5) * (1+KTDB_발생량도착량_증가율!$E$7*5)</f>
        <v>284.46677669237135</v>
      </c>
      <c r="D107" s="400">
        <f>$AB65*KTDB_TripDistribution_2035!M$12 * (1+KTDB_발생량도착량_증가율!$C$8*2) * (1+KTDB_발생량도착량_증가율!$D$7*5) * (1+KTDB_발생량도착량_증가율!$E$7*5)</f>
        <v>2212.0515903722926</v>
      </c>
      <c r="E107" s="400">
        <f>$AB65*KTDB_TripDistribution_2035!N$12 * (1+KTDB_발생량도착량_증가율!$C$8*2) * (1+KTDB_발생량도착량_증가율!$D$7*5) * (1+KTDB_발생량도착량_증가율!$E$7*5)</f>
        <v>98.049967819266669</v>
      </c>
      <c r="F107" s="400">
        <f>$AB65*KTDB_TripDistribution_2035!O$12 * (1+KTDB_발생량도착량_증가율!$C$8*2) * (1+KTDB_발생량도착량_증가율!$D$7*5) * (1+KTDB_발생량도착량_증가율!$E$7*5)</f>
        <v>0.26589821781495948</v>
      </c>
      <c r="G107" s="400">
        <f>$AB65*KTDB_TripDistribution_2035!P$12 * (1+KTDB_발생량도착량_증가율!$C$8*2) * (1+KTDB_발생량도착량_증가율!$D$7*5) * (1+KTDB_발생량도착량_증가율!$E$7*5)</f>
        <v>0.75337828380905403</v>
      </c>
      <c r="H107" s="400">
        <f>$AB65*KTDB_TripDistribution_2035!Q$12 * (1+KTDB_발생량도착량_증가율!$C$8*2) * (1+KTDB_발생량도착량_증가율!$D$7*5) * (1+KTDB_발생량도착량_증가율!$E$7*5)</f>
        <v>2595.5876113855547</v>
      </c>
      <c r="J107" s="230">
        <f t="shared" si="46"/>
        <v>2595.5876113855547</v>
      </c>
      <c r="K107" s="206"/>
      <c r="L107" s="206" t="s">
        <v>673</v>
      </c>
      <c r="M107" s="206">
        <f>INDEX($A$102:$H$115,MATCH($L107,$B$102:$B$115,0),MATCH($M$101,$A$102:$H$102,0))*고양시_Modal_split!C$3 * 0.01</f>
        <v>0.79650697473863974</v>
      </c>
      <c r="N107" s="206">
        <f>INDEX($A$102:$H$115,MATCH($L107,$B$102:$B$115,0),MATCH($M$101,$A$102:$H$102,0))*고양시_Modal_split!D$3 * 0.01</f>
        <v>133.78472507842224</v>
      </c>
      <c r="O107" s="206">
        <f>INDEX($A$102:$H$115,MATCH($L107,$B$102:$B$115,0),MATCH($M$101,$A$102:$H$102,0))*고양시_Modal_split!E$3 * 0.01</f>
        <v>16.186159593795928</v>
      </c>
      <c r="P107" s="206">
        <f>INDEX($A$102:$H$115,MATCH($L107,$B$102:$B$115,0),MATCH($M$101,$A$102:$H$102,0))*고양시_Modal_split!F$3 * 0.01</f>
        <v>26.085603422690451</v>
      </c>
      <c r="Q107" s="206">
        <f>INDEX($A$102:$H$115,MATCH($L107,$B$102:$B$115,0),MATCH($M$101,$A$102:$H$102,0))*고양시_Modal_split!G$3 * 0.01</f>
        <v>2.6170943455698166</v>
      </c>
      <c r="R107" s="206">
        <f>INDEX($A$102:$H$115,MATCH($L107,$B$102:$B$115,0),MATCH($M$101,$A$102:$H$102,0))*고양시_Modal_split!H$3 * 0.01</f>
        <v>2.8446677669237138E-2</v>
      </c>
      <c r="S107" s="206">
        <f>INDEX($A$102:$H$115,MATCH($L107,$B$102:$B$115,0),MATCH($M$101,$A$102:$H$102,0))*고양시_Modal_split!I$3 * 0.01</f>
        <v>7.9081763920479231</v>
      </c>
      <c r="T107" s="206">
        <f>INDEX($A$102:$H$115,MATCH($L107,$B$102:$B$115,0),MATCH($M$101,$A$102:$H$102,0))*고양시_Modal_split!J$3 * 0.01</f>
        <v>86.591686825157851</v>
      </c>
      <c r="U107" s="206">
        <f>INDEX($A$102:$H$115,MATCH($L107,$B$102:$B$115,0),MATCH($M$101,$A$102:$H$102,0))*고양시_Modal_split!K$3 * 0.01</f>
        <v>0.42670016503855701</v>
      </c>
      <c r="V107" s="206">
        <f>INDEX($A$102:$H$115,MATCH($L107,$B$102:$B$115,0),MATCH($M$101,$A$102:$H$102,0))*고양시_Modal_split!L$3 * 0.01</f>
        <v>8.5908966561096154</v>
      </c>
      <c r="W107" s="206">
        <f>INDEX($A$102:$H$115,MATCH($L107,$B$102:$B$115,0),MATCH($M$101,$A$102:$H$102,0))*고양시_Modal_split!M$3 * 0.01</f>
        <v>0.65427358639245414</v>
      </c>
      <c r="X107" s="206">
        <f>INDEX($A$102:$H$115,MATCH($L107,$B$102:$B$115,0),MATCH($M$101,$A$102:$H$102,0))*고양시_Modal_split!N$3 * 0.01</f>
        <v>0.28446677669237136</v>
      </c>
      <c r="Y107" s="206">
        <f>INDEX($A$102:$H$115,MATCH($L107,$B$102:$B$115,0),MATCH($M$101,$A$102:$H$102,0))*고양시_Modal_split!O$3 * 0.01</f>
        <v>0.51204019804626844</v>
      </c>
      <c r="Z107" s="209">
        <f>INDEX($A$102:$H$115,MATCH($L107,$B$102:$B$115,0),MATCH($M$101,$A$102:$H$102,0))*고양시_Modal_split!P$3 * 0.01</f>
        <v>284.46677669237135</v>
      </c>
      <c r="AA107" s="207">
        <f>INDEX($A$102:$H$115,MATCH($L107,$B$102:$B$115,0),MATCH($AA$101,$A$102:$H$102,0))*고양시_Modal_split!C$3 * 0.01</f>
        <v>6.1937444530424184</v>
      </c>
      <c r="AB107" s="207">
        <f>INDEX($A$102:$H$115,MATCH($L107,$B$102:$B$115,0),MATCH($AA$101,$A$102:$H$102,0))*고양시_Modal_split!D$3 * 0.01</f>
        <v>1040.3278629520892</v>
      </c>
      <c r="AC107" s="207">
        <f>INDEX($A$102:$H$115,MATCH($L107,$B$102:$B$115,0),MATCH($AA$101,$A$102:$H$102,0))*고양시_Modal_split!E$3 * 0.01</f>
        <v>125.86573549218343</v>
      </c>
      <c r="AD107" s="207">
        <f>INDEX($A$102:$H$115,MATCH($L107,$B$102:$B$115,0),MATCH($AA$101,$A$102:$H$102,0))*고양시_Modal_split!F$3 * 0.01</f>
        <v>202.84513083713924</v>
      </c>
      <c r="AE107" s="207">
        <f>INDEX($A$102:$H$115,MATCH($L107,$B$102:$B$115,0),MATCH($AA$101,$A$102:$H$102,0))*고양시_Modal_split!G$3 * 0.01</f>
        <v>20.350874631425089</v>
      </c>
      <c r="AF107" s="207">
        <f>INDEX($A$102:$H$115,MATCH($L107,$B$102:$B$115,0),MATCH($AA$101,$A$102:$H$102,0))*고양시_Modal_split!H$3 * 0.01</f>
        <v>0.22120515903722926</v>
      </c>
      <c r="AG107" s="207">
        <f>INDEX($A$102:$H$115,MATCH($L107,$B$102:$B$115,0),MATCH($AA$101,$A$102:$H$102,0))*고양시_Modal_split!I$3 * 0.01</f>
        <v>61.495034212349729</v>
      </c>
      <c r="AH107" s="207">
        <f>INDEX($A$102:$H$115,MATCH($L107,$B$102:$B$115,0),MATCH($AA$101,$A$102:$H$102,0))*고양시_Modal_split!J$3 * 0.01</f>
        <v>673.34850410932586</v>
      </c>
      <c r="AI107" s="207">
        <f>INDEX($A$102:$H$115,MATCH($L107,$B$102:$B$115,0),MATCH($AA$101,$A$102:$H$102,0))*고양시_Modal_split!K$3 * 0.01</f>
        <v>3.3180773855584387</v>
      </c>
      <c r="AJ107" s="207">
        <f>INDEX($A$102:$H$115,MATCH($L107,$B$102:$B$115,0),MATCH($AA$101,$A$102:$H$102,0))*고양시_Modal_split!L$3 * 0.01</f>
        <v>66.803958029243248</v>
      </c>
      <c r="AK107" s="207">
        <f>INDEX($A$102:$H$115,MATCH($L107,$B$102:$B$115,0),MATCH($AA$101,$A$102:$H$102,0))*고양시_Modal_split!M$3 * 0.01</f>
        <v>5.0877186578562723</v>
      </c>
      <c r="AL107" s="207">
        <f>INDEX($A$102:$H$115,MATCH($L107,$B$102:$B$115,0),MATCH($AA$101,$A$102:$H$102,0))*고양시_Modal_split!N$3 * 0.01</f>
        <v>2.2120515903722926</v>
      </c>
      <c r="AM107" s="207">
        <f>INDEX($A$102:$H$115,MATCH($L107,$B$102:$B$115,0),MATCH($AA$101,$A$102:$H$102,0))*고양시_Modal_split!O$3 * 0.01</f>
        <v>3.9816928626701267</v>
      </c>
      <c r="AN107" s="207">
        <f>INDEX($A$102:$H$115,MATCH($L107,$B$102:$B$115,0),MATCH($AA$101,$A$102:$H$102,0))*고양시_Modal_split!P$3 * 0.01</f>
        <v>2212.0515903722926</v>
      </c>
      <c r="AO107" s="303">
        <f>INDEX($A$102:$H$115,MATCH($L107,$B$102:$B$115,0),MATCH($AO$101,$A$102:$H$102,0))*고양시_Modal_split!C$3 * 0.01</f>
        <v>0.27453990989394667</v>
      </c>
      <c r="AP107" s="303">
        <f>INDEX($A$102:$H$115,MATCH($L107,$B$102:$B$115,0),MATCH($AO$101,$A$102:$H$102,0))*고양시_Modal_split!D$3 * 0.01</f>
        <v>46.112899865401111</v>
      </c>
      <c r="AQ107" s="303">
        <f>INDEX($A$102:$H$115,MATCH($L107,$B$102:$B$115,0),MATCH($AO$101,$A$102:$H$102,0))*고양시_Modal_split!E$3 * 0.01</f>
        <v>5.5790431689162734</v>
      </c>
      <c r="AR107" s="303">
        <f>INDEX($A$102:$H$115,MATCH($L107,$B$102:$B$115,0),MATCH($AO$101,$A$102:$H$102,0))*고양시_Modal_split!F$3 * 0.01</f>
        <v>8.9911820490267527</v>
      </c>
      <c r="AS107" s="303">
        <f>INDEX($A$102:$H$115,MATCH($L107,$B$102:$B$115,0),MATCH($AO$101,$A$102:$H$102,0))*고양시_Modal_split!G$3 * 0.01</f>
        <v>0.90205970393725321</v>
      </c>
      <c r="AT107" s="303">
        <f>INDEX($A$102:$H$115,MATCH($L107,$B$102:$B$115,0),MATCH($AO$101,$A$102:$H$102,0))*고양시_Modal_split!H$3 * 0.01</f>
        <v>9.8049967819266674E-3</v>
      </c>
      <c r="AU107" s="303">
        <f>INDEX($A$102:$H$115,MATCH($L107,$B$102:$B$115,0),MATCH($AO$101,$A$102:$H$102,0))*고양시_Modal_split!I$3 * 0.01</f>
        <v>2.7257891053756134</v>
      </c>
      <c r="AV107" s="303">
        <f>INDEX($A$102:$H$115,MATCH($L107,$B$102:$B$115,0),MATCH($AO$101,$A$102:$H$102,0))*고양시_Modal_split!J$3 * 0.01</f>
        <v>29.846410204184778</v>
      </c>
      <c r="AW107" s="303">
        <f>INDEX($A$102:$H$115,MATCH($L107,$B$102:$B$115,0),MATCH($AO$101,$A$102:$H$102,0))*고양시_Modal_split!K$3 * 0.01</f>
        <v>0.14707495172890001</v>
      </c>
      <c r="AX107" s="303">
        <f>INDEX($A$102:$H$115,MATCH($L107,$B$102:$B$115,0),MATCH($AO$101,$A$102:$H$102,0))*고양시_Modal_split!L$3 * 0.01</f>
        <v>2.9611090281418537</v>
      </c>
      <c r="AY107" s="303">
        <f>INDEX($A$102:$H$115,MATCH($L107,$B$102:$B$115,0),MATCH($AO$101,$A$102:$H$102,0))*고양시_Modal_split!M$3 * 0.01</f>
        <v>0.2255149259843133</v>
      </c>
      <c r="AZ107" s="303">
        <f>INDEX($A$102:$H$115,MATCH($L107,$B$102:$B$115,0),MATCH($AO$101,$A$102:$H$102,0))*고양시_Modal_split!N$3 * 0.01</f>
        <v>9.8049967819266684E-2</v>
      </c>
      <c r="BA107" s="207">
        <f>INDEX($A$102:$H$115,MATCH($L107,$B$102:$B$115,0),MATCH($AO$101,$A$102:$H$102,0))*고양시_Modal_split!O$3 * 0.01</f>
        <v>0.17648994207468</v>
      </c>
      <c r="BB107" s="207">
        <f>INDEX($A$102:$H$115,MATCH($L107,$B$102:$B$115,0),MATCH($AO$101,$A$102:$H$102,0))*고양시_Modal_split!P$3 * 0.01</f>
        <v>98.049967819266683</v>
      </c>
      <c r="BC107" s="207">
        <f>INDEX($A$102:$H$115,MATCH($L107,$B$102:$B$115,0),MATCH($BC$101,$A$102:$H$102,0))*고양시_Modal_split!C$3 * 0.01</f>
        <v>7.445150098818865E-4</v>
      </c>
      <c r="BD107" s="207">
        <f>INDEX($A$102:$H$115,MATCH($L107,$B$102:$B$115,0),MATCH($BC$101,$A$102:$H$102,0))*고양시_Modal_split!D$3 * 0.01</f>
        <v>0.12505193183837546</v>
      </c>
      <c r="BE107" s="207">
        <f>INDEX($A$102:$H$115,MATCH($L107,$B$102:$B$115,0),MATCH($BC$101,$A$102:$H$102,0))*고양시_Modal_split!E$3 * 0.01</f>
        <v>1.5129608593671193E-2</v>
      </c>
      <c r="BF107" s="207">
        <f>INDEX($A$102:$H$115,MATCH($L107,$B$102:$B$115,0),MATCH($BC$101,$A$102:$H$102,0))*고양시_Modal_split!F$3 * 0.01</f>
        <v>2.4382866573631784E-2</v>
      </c>
      <c r="BG107" s="207">
        <f>INDEX($A$102:$H$115,MATCH($L107,$B$102:$B$115,0),MATCH($BC$101,$A$102:$H$102,0))*고양시_Modal_split!G$3 * 0.01</f>
        <v>2.446263603897627E-3</v>
      </c>
      <c r="BH107" s="207">
        <f>INDEX($A$102:$H$115,MATCH($L107,$B$102:$B$115,0),MATCH($BC$101,$A$102:$H$102,0))*고양시_Modal_split!H$3 * 0.01</f>
        <v>2.6589821781495946E-5</v>
      </c>
      <c r="BI107" s="207">
        <f>INDEX($A$102:$H$115,MATCH($L107,$B$102:$B$115,0),MATCH($BC$101,$A$102:$H$102,0))*고양시_Modal_split!I$3 * 0.01</f>
        <v>7.3919704552558732E-3</v>
      </c>
      <c r="BJ107" s="207">
        <f>INDEX($A$102:$H$115,MATCH($L107,$B$102:$B$115,0),MATCH($BC$101,$A$102:$H$102,0))*고양시_Modal_split!J$3 * 0.01</f>
        <v>8.0939417502873673E-2</v>
      </c>
      <c r="BK107" s="207">
        <f>INDEX($A$102:$H$115,MATCH($L107,$B$102:$B$115,0),MATCH($BC$101,$A$102:$H$102,0))*고양시_Modal_split!K$3 * 0.01</f>
        <v>3.9884732672243922E-4</v>
      </c>
      <c r="BL107" s="207">
        <f>INDEX($A$102:$H$115,MATCH($L107,$B$102:$B$115,0),MATCH($BC$101,$A$102:$H$102,0))*고양시_Modal_split!L$3 * 0.01</f>
        <v>8.0301261780117757E-3</v>
      </c>
      <c r="BM107" s="207">
        <f>INDEX($A$102:$H$115,MATCH($L107,$B$102:$B$115,0),MATCH($BC$101,$A$102:$H$102,0))*고양시_Modal_split!M$3 * 0.01</f>
        <v>6.1156590097440674E-4</v>
      </c>
      <c r="BN107" s="207">
        <f>INDEX($A$102:$H$115,MATCH($L107,$B$102:$B$115,0),MATCH($BC$101,$A$102:$H$102,0))*고양시_Modal_split!N$3 * 0.01</f>
        <v>2.6589821781495952E-4</v>
      </c>
      <c r="BO107" s="207">
        <f>INDEX($A$102:$H$115,MATCH($L107,$B$102:$B$115,0),MATCH($BC$101,$A$102:$H$102,0))*고양시_Modal_split!O$3 * 0.01</f>
        <v>4.7861679206692703E-4</v>
      </c>
      <c r="BP107" s="207">
        <f>INDEX($A$102:$H$115,MATCH($L107,$B$102:$B$115,0),MATCH($BC$101,$A$102:$H$102,0))*고양시_Modal_split!P$3 * 0.01</f>
        <v>0.26589821781495948</v>
      </c>
      <c r="BQ107" s="207">
        <f>INDEX($A$102:$H$115,MATCH($L107,$B$102:$B$115,0),MATCH($BQ$101,$A$102:$H$102,0))*고양시_Modal_split!C$3 * 0.01</f>
        <v>2.1094591946653508E-3</v>
      </c>
      <c r="BR107" s="207">
        <f>INDEX($A$102:$H$115,MATCH($L107,$B$102:$B$115,0),MATCH($BQ$101,$A$102:$H$102,0))*고양시_Modal_split!D$3 * 0.01</f>
        <v>0.35431380687539815</v>
      </c>
      <c r="BS107" s="207">
        <f>INDEX($A$102:$H$115,MATCH($L107,$B$102:$B$115,0),MATCH($BQ$101,$A$102:$H$102,0))*고양시_Modal_split!E$3 * 0.01</f>
        <v>4.2867224348735168E-2</v>
      </c>
      <c r="BT107" s="207">
        <f>INDEX($A$102:$H$115,MATCH($L107,$B$102:$B$115,0),MATCH($BQ$101,$A$102:$H$102,0))*고양시_Modal_split!F$3 * 0.01</f>
        <v>6.9084788625290258E-2</v>
      </c>
      <c r="BU107" s="207">
        <f>INDEX($A$102:$H$115,MATCH($L107,$B$102:$B$115,0),MATCH($BQ$101,$A$102:$H$102,0))*고양시_Modal_split!G$3 * 0.01</f>
        <v>6.9310802110432966E-3</v>
      </c>
      <c r="BV107" s="207">
        <f>INDEX($A$102:$H$115,MATCH($L107,$B$102:$B$115,0),MATCH($BQ$101,$A$102:$H$102,0))*고양시_Modal_split!H$3 * 0.01</f>
        <v>7.5337828380905403E-5</v>
      </c>
      <c r="BW107" s="207">
        <f>INDEX($A$102:$H$115,MATCH($L107,$B$102:$B$115,0),MATCH($BQ$101,$A$102:$H$102,0))*고양시_Modal_split!I$3 * 0.01</f>
        <v>2.0943916289891701E-2</v>
      </c>
      <c r="BX107" s="207">
        <f>INDEX($A$102:$H$115,MATCH($L107,$B$102:$B$115,0),MATCH($BQ$101,$A$102:$H$102,0))*고양시_Modal_split!J$3 * 0.01</f>
        <v>0.22932834959147605</v>
      </c>
      <c r="BY107" s="207">
        <f>INDEX($A$102:$H$115,MATCH($L107,$B$102:$B$115,0),MATCH($BQ$101,$A$102:$H$102,0))*고양시_Modal_split!K$3 * 0.01</f>
        <v>1.1300674257135809E-3</v>
      </c>
      <c r="BZ107" s="207">
        <f>INDEX($A$102:$H$115,MATCH($L107,$B$102:$B$115,0),MATCH($BQ$101,$A$102:$H$102,0))*고양시_Modal_split!L$3 * 0.01</f>
        <v>2.2752024171033433E-2</v>
      </c>
      <c r="CA107" s="207">
        <f>INDEX($A$102:$H$115,MATCH($L107,$B$102:$B$115,0),MATCH($BQ$101,$A$102:$H$102,0))*고양시_Modal_split!M$3 * 0.01</f>
        <v>1.7327700527608242E-3</v>
      </c>
      <c r="CB107" s="207">
        <f>INDEX($A$102:$H$115,MATCH($L107,$B$102:$B$115,0),MATCH($BQ$101,$A$102:$H$102,0))*고양시_Modal_split!N$3 * 0.01</f>
        <v>7.5337828380905413E-4</v>
      </c>
      <c r="CC107" s="207">
        <f>INDEX($A$102:$H$115,MATCH($L107,$B$102:$B$115,0),MATCH($BQ$101,$A$102:$H$102,0))*고양시_Modal_split!O$3 * 0.01</f>
        <v>1.3560809108562972E-3</v>
      </c>
      <c r="CD107" s="207">
        <f>INDEX($A$102:$H$115,MATCH($L107,$B$102:$B$115,0),MATCH($BQ$101,$A$102:$H$102,0))*고양시_Modal_split!P$3 * 0.01</f>
        <v>0.75337828380905414</v>
      </c>
      <c r="CE107" s="304">
        <f t="shared" si="51"/>
        <v>7.2676453118795523</v>
      </c>
      <c r="CF107" s="304">
        <f t="shared" si="47"/>
        <v>1220.7048536346263</v>
      </c>
      <c r="CG107" s="304">
        <f t="shared" si="47"/>
        <v>147.68893508783805</v>
      </c>
      <c r="CH107" s="304">
        <f t="shared" si="47"/>
        <v>238.01538396405536</v>
      </c>
      <c r="CI107" s="304">
        <f t="shared" si="47"/>
        <v>23.879406024747102</v>
      </c>
      <c r="CJ107" s="304">
        <f t="shared" si="47"/>
        <v>0.25955876113855547</v>
      </c>
      <c r="CK107" s="304">
        <f t="shared" si="47"/>
        <v>72.157335596518422</v>
      </c>
      <c r="CL107" s="304">
        <f t="shared" si="47"/>
        <v>790.09686890576279</v>
      </c>
      <c r="CM107" s="304">
        <f t="shared" si="47"/>
        <v>3.8933814170783316</v>
      </c>
      <c r="CN107" s="304">
        <f t="shared" si="47"/>
        <v>78.386745863843757</v>
      </c>
      <c r="CO107" s="304">
        <f t="shared" si="47"/>
        <v>5.9698515061867754</v>
      </c>
      <c r="CP107" s="304">
        <f t="shared" si="47"/>
        <v>2.5955876113855547</v>
      </c>
      <c r="CQ107" s="304">
        <f t="shared" si="47"/>
        <v>4.6720577004939976</v>
      </c>
      <c r="CR107" s="304">
        <f t="shared" si="47"/>
        <v>2595.5876113855547</v>
      </c>
      <c r="CS107" s="305">
        <f t="shared" si="52"/>
        <v>0</v>
      </c>
      <c r="CV107" s="265"/>
      <c r="CW107" s="265" t="s">
        <v>673</v>
      </c>
      <c r="CX107" s="267">
        <f>INDEX($M$101:$Z$115,MATCH($CW107,$L$101:$L$115,0),MATCH(CX$102,$M$102:$Z$102,0))/INDEX(고양시_재차인원!$D$4:$H$35,MATCH("고양시",고양시_재차인원!$B$4:$B$35,0),MATCH($CX$101,고양시_재차인원!$D$4:$H$4,0))</f>
        <v>119.45064739144841</v>
      </c>
      <c r="CY107" s="267">
        <f>INDEX($M$101:$Z$115,MATCH($CW107,$L$101:$L$115,0),MATCH(CY$102,$M$102:$Z$102,0))/INDEX(고양시_재차인원!$K$4:$O$20,MATCH("경기도",고양시_재차인원!$K$4:$K$20,0),MATCH(CY$102,고양시_재차인원!$K$4:$O$4,0))</f>
        <v>9.8807494509333587E-4</v>
      </c>
      <c r="CZ107" s="267">
        <f>INDEX($M$101:$Z$115,MATCH($CW107,$L$101:$L$115,0),MATCH(CZ$102,$M$102:$Z$102,0))/INDEX(고양시_재차인원!$K$4:$O$20,MATCH("경기도",고양시_재차인원!$K$4:$K$20,0),MATCH(CZ$102,고양시_재차인원!$K$4:$O$4,0))</f>
        <v>0.27468483473594735</v>
      </c>
      <c r="DA107" s="267">
        <f>INDEX($M$101:$Z$115,MATCH($CW107,$L$101:$L$115,0),MATCH(DA$102,$M$102:$Z$102,0))/INDEX(고양시_재차인원!$D$4:$H$35,MATCH("고양시",고양시_재차인원!$B$4:$B$35,0),MATCH($CX$101,고양시_재차인원!$D$4:$H$4,0))</f>
        <v>7.6704434429550128</v>
      </c>
      <c r="DB107" s="267">
        <f>INDEX($AA$101:$AN$115,MATCH($CW107,$L$101:$L$115,0),MATCH(DB$102,$AA$102:$AN$102,0))/INDEX(고양시_재차인원!$D$4:$H$35,MATCH("고양시",고양시_재차인원!$B$4:$B$35,0),MATCH($DB$101,고양시_재차인원!$D$4:$H$4,0))</f>
        <v>737.82117939864486</v>
      </c>
      <c r="DC107" s="267">
        <f>INDEX($AA$101:$AN$115,MATCH($CW107,$L$101:$L$115,0),MATCH(DC$102,$AA$102:$AN$102,0))/INDEX(고양시_재차인원!$K$4:$O$20,MATCH("경기도",고양시_재차인원!$K$4:$K$20,0),MATCH(DC$102,고양시_재차인원!$K$4:$O$4,0))</f>
        <v>7.6834025368957715E-3</v>
      </c>
      <c r="DD107" s="267">
        <f>INDEX($AA$101:$AN$115,MATCH($CW107,$L$101:$L$115,0),MATCH(DD$102,$AA$102:$AN$102,0))/INDEX(고양시_재차인원!$K$4:$O$20,MATCH("경기도",고양시_재차인원!$K$4:$K$20,0),MATCH(DD$102,고양시_재차인원!$K$4:$O$4,0))</f>
        <v>2.1359859052570243</v>
      </c>
      <c r="DE107" s="267">
        <f>INDEX($AA$101:$AN$115,MATCH($CW107,$L$101:$L$115,0),MATCH(DE$102,$AA$102:$AN$102,0))/INDEX(고양시_재차인원!$D$4:$H$35,MATCH("고양시",고양시_재차인원!$B$4:$B$35,0),MATCH($DB$101,고양시_재차인원!$D$4:$H$4,0))</f>
        <v>47.378693637761174</v>
      </c>
      <c r="DF107" s="267">
        <f>INDEX($AO$101:$BB$115,MATCH($CW107,$L$101:$L$115,0),MATCH(DF$102,$AO$102:$BB$102,0))/INDEX(고양시_재차인원!$D$4:$H$35,MATCH("고양시",고양시_재차인원!$B$4:$B$35,0),MATCH($DF$101,고양시_재차인원!$D$4:$H$4,0))</f>
        <v>35.471461434923931</v>
      </c>
      <c r="DG107" s="267">
        <f>INDEX($AO$101:$BB$115,MATCH($CW107,$L$101:$L$115,0),MATCH(DG$102,$AO$102:$BB$102,0))/INDEX(고양시_재차인원!$K$4:$O$20,MATCH("경기도",고양시_재차인원!$K$4:$K$20,0),MATCH(DG$102,고양시_재차인원!$K$4:$O$4,0))</f>
        <v>3.4056953045941883E-4</v>
      </c>
      <c r="DH107" s="267">
        <f>INDEX($AO$101:$BB$115,MATCH($CW107,$L$101:$L$115,0),MATCH(DH$102,$AO$102:$BB$102,0))/INDEX(고양시_재차인원!$K$4:$O$20,MATCH("경기도",고양시_재차인원!$K$4:$K$20,0),MATCH(DH$102,고양시_재차인원!$K$4:$O$4,0))</f>
        <v>9.4678329467718425E-2</v>
      </c>
      <c r="DI107" s="267">
        <f>INDEX($AO$101:$BB$115,MATCH($CW107,$L$101:$L$115,0),MATCH(DI$102,$AO$102:$BB$102,0))/INDEX(고양시_재차인원!$D$4:$H$35,MATCH("고양시",고양시_재차인원!$B$4:$B$35,0),MATCH($DF$101,고양시_재차인원!$D$4:$H$4,0))</f>
        <v>2.2777761754937336</v>
      </c>
      <c r="DJ107" s="267">
        <f>INDEX($BC$101:$BP$115,MATCH($CW107,$L$101:$L$115,0),MATCH(DJ$102,$BC$102:$BP$102,0))/INDEX(고양시_재차인원!$D$4:$H$35,MATCH("고양시",고양시_재차인원!$B$4:$B$35,0),MATCH($DJ$101,고양시_재차인원!$D$4:$H$4,0))</f>
        <v>9.1949949881158413E-2</v>
      </c>
      <c r="DK107" s="267">
        <f>INDEX($BC$101:$BP$115,MATCH($CW107,$L$101:$L$115,0),MATCH(DK$102,$BC$102:$BP$102,0))/INDEX(고양시_재차인원!$K$4:$O$20,MATCH("경기도",고양시_재차인원!$K$4:$K$20,0),MATCH(DK$102,고양시_재차인원!$K$4:$O$4,0))</f>
        <v>9.2357838768655598E-7</v>
      </c>
      <c r="DL107" s="267">
        <f>INDEX($BC$101:$BP$115,MATCH($CW107,$L$101:$L$115,0),MATCH(DL$102,$BC$102:$BP$102,0))/INDEX(고양시_재차인원!$K$4:$O$20,MATCH("경기도",고양시_재차인원!$K$4:$K$20,0),MATCH(DL$102,고양시_재차인원!$K$4:$O$4,0))</f>
        <v>2.567547917768626E-4</v>
      </c>
      <c r="DM107" s="267">
        <f>INDEX($BC$101:$BP$115,MATCH($CW107,$L$101:$L$115,0),MATCH(DM$102,$BC$102:$BP$102,0))/INDEX(고양시_재차인원!$D$4:$H$35,MATCH("고양시",고양시_재차인원!$B$4:$B$35,0),MATCH($DJ$101,고양시_재차인원!$D$4:$H$4,0))</f>
        <v>5.9045045426557169E-3</v>
      </c>
      <c r="DN107" s="267">
        <f>INDEX($BQ$101:$CD$115,MATCH($CW107,$L$101:$L$115,0),MATCH(DN$102,$BQ$102:$CD$102,0))/INDEX(고양시_재차인원!$D$4:$H$35,MATCH("고양시",고양시_재차인원!$B$4:$B$35,0),MATCH($DN$101,고양시_재차인원!$D$4:$H$4,0))</f>
        <v>0.28120143402809378</v>
      </c>
      <c r="DO107" s="267">
        <f>INDEX($BQ$101:$CD$115,MATCH($CW107,$L$101:$L$115,0),MATCH(DO$102,$BQ$102:$CD$102,0))/INDEX(고양시_재차인원!$K$4:$O$20,MATCH("경기도",고양시_재차인원!$K$4:$K$20,0),MATCH(DO$102,고양시_재차인원!$K$4:$O$4,0))</f>
        <v>2.6168054317785829E-6</v>
      </c>
      <c r="DP107" s="267">
        <f>INDEX($BQ$101:$CD$115,MATCH($CW107,$L$101:$L$115,0),MATCH(DP$102,$BQ$102:$CD$102,0))/INDEX(고양시_재차인원!$K$4:$O$20,MATCH("경기도",고양시_재차인원!$K$4:$K$20,0),MATCH(DP$102,고양시_재차인원!$K$4:$O$4,0))</f>
        <v>7.2747191003444606E-4</v>
      </c>
      <c r="DQ107" s="267">
        <f>INDEX($BQ$101:$CD$115,MATCH($CW107,$L$101:$L$115,0),MATCH(DQ$102,$BQ$102:$CD$102,0))/INDEX(고양시_재차인원!$D$4:$H$35,MATCH("고양시",고양시_재차인원!$B$4:$B$35,0),MATCH($DN$101,고양시_재차인원!$D$4:$H$4,0))</f>
        <v>1.8057162040502724E-2</v>
      </c>
      <c r="DR107" s="270">
        <f t="shared" si="53"/>
        <v>893.1164396089265</v>
      </c>
      <c r="DS107" s="270">
        <f t="shared" si="48"/>
        <v>9.0155873962679909E-3</v>
      </c>
      <c r="DT107" s="270">
        <f t="shared" si="48"/>
        <v>2.5063332961625013</v>
      </c>
      <c r="DU107" s="270">
        <f t="shared" si="48"/>
        <v>57.350874922793082</v>
      </c>
      <c r="DW107" s="278"/>
      <c r="DX107" s="278" t="s">
        <v>673</v>
      </c>
      <c r="DY107" s="281">
        <f t="shared" si="54"/>
        <v>950.46731453171958</v>
      </c>
      <c r="DZ107" s="281">
        <f t="shared" si="55"/>
        <v>2.5153488835587692</v>
      </c>
      <c r="EB107" s="278"/>
      <c r="EC107" s="278" t="s">
        <v>673</v>
      </c>
      <c r="ED107" s="281">
        <f t="shared" si="56"/>
        <v>950.46731453171958</v>
      </c>
      <c r="EE107" s="281">
        <f t="shared" si="49"/>
        <v>2.5153488835587692</v>
      </c>
      <c r="EL107" s="306" t="s">
        <v>12</v>
      </c>
      <c r="EM107" s="306" t="s">
        <v>361</v>
      </c>
      <c r="EN107" s="306">
        <v>8261.5616000000009</v>
      </c>
      <c r="EO107" s="306">
        <v>0.12335288692322853</v>
      </c>
      <c r="EP107" s="307">
        <v>849105</v>
      </c>
      <c r="EQ107" s="308">
        <f t="shared" si="57"/>
        <v>25.449178930384271</v>
      </c>
      <c r="ER107" s="308">
        <f t="shared" si="58"/>
        <v>6.7349568818753036E-2</v>
      </c>
      <c r="ET107" s="420" t="s">
        <v>12</v>
      </c>
      <c r="EU107" s="420" t="s">
        <v>361</v>
      </c>
      <c r="EV107" s="420">
        <v>8261.5616000000009</v>
      </c>
      <c r="EW107" s="420">
        <v>0.12335288692322853</v>
      </c>
      <c r="EX107" s="421">
        <v>849105</v>
      </c>
      <c r="EY107" s="422">
        <f t="shared" si="59"/>
        <v>24.723877330868319</v>
      </c>
      <c r="EZ107" s="422">
        <f t="shared" si="60"/>
        <v>6.5430106107418576E-2</v>
      </c>
      <c r="FA107">
        <v>0</v>
      </c>
      <c r="FD107" s="306" t="s">
        <v>12</v>
      </c>
      <c r="FE107" s="306" t="s">
        <v>361</v>
      </c>
      <c r="FF107" s="306">
        <v>8261.5616000000009</v>
      </c>
      <c r="FG107" s="306">
        <v>0.12335288692322853</v>
      </c>
      <c r="FH107" s="307">
        <v>849105</v>
      </c>
      <c r="FI107" s="308">
        <f t="shared" si="61"/>
        <v>24.723877330868319</v>
      </c>
      <c r="FJ107" s="308">
        <f t="shared" si="50"/>
        <v>6.5430106107418576E-2</v>
      </c>
      <c r="FL107" s="101"/>
      <c r="FM107" s="101"/>
      <c r="FN107" s="101"/>
      <c r="FO107" s="101"/>
      <c r="FP107" s="374"/>
      <c r="FQ107" s="404"/>
      <c r="FR107" s="404"/>
    </row>
    <row r="108" spans="1:174" ht="25">
      <c r="A108" s="205"/>
      <c r="B108" s="205" t="s">
        <v>13</v>
      </c>
      <c r="C108" s="400">
        <f>$AB66*KTDB_TripDistribution_2035!L$12 * (1+KTDB_발생량도착량_증가율!$C$8*2) * (1+KTDB_발생량도착량_증가율!$D$7*5) * (1+KTDB_발생량도착량_증가율!$E$7*5)</f>
        <v>94.93810771712414</v>
      </c>
      <c r="D108" s="400">
        <f>$AB66*KTDB_TripDistribution_2035!M$12 * (1+KTDB_발생량도착량_증가율!$C$8*2) * (1+KTDB_발생량도착량_증가율!$D$7*5) * (1+KTDB_발생량도착량_증가율!$E$7*5)</f>
        <v>738.25138599474383</v>
      </c>
      <c r="E108" s="400">
        <f>$AB66*KTDB_TripDistribution_2035!N$12 * (1+KTDB_발생량도착량_증가율!$C$8*2) * (1+KTDB_발생량도착량_증가율!$D$7*5) * (1+KTDB_발생량도착량_증가율!$E$7*5)</f>
        <v>32.723253360981076</v>
      </c>
      <c r="F108" s="400">
        <f>$AB66*KTDB_TripDistribution_2035!O$12 * (1+KTDB_발생량도착량_증가율!$C$8*2) * (1+KTDB_발생량도착량_증가율!$D$7*5) * (1+KTDB_발생량도착량_증가율!$E$7*5)</f>
        <v>8.8741026063677148E-2</v>
      </c>
      <c r="G108" s="400">
        <f>$AB66*KTDB_TripDistribution_2035!P$12 * (1+KTDB_발생량도착량_증가율!$C$8*2) * (1+KTDB_발생량도착량_증가율!$D$7*5) * (1+KTDB_발생량도착량_증가율!$E$7*5)</f>
        <v>0.25143290718041938</v>
      </c>
      <c r="H108" s="400">
        <f>$AB66*KTDB_TripDistribution_2035!Q$12 * (1+KTDB_발생량도착량_증가율!$C$8*2) * (1+KTDB_발생량도착량_증가율!$D$7*5) * (1+KTDB_발생량도착량_증가율!$E$7*5)</f>
        <v>866.25292100609317</v>
      </c>
      <c r="K108" s="206"/>
      <c r="L108" s="206" t="s">
        <v>13</v>
      </c>
      <c r="M108" s="206">
        <f>INDEX($A$102:$H$115,MATCH($L108,$B$102:$B$115,0),MATCH($M$101,$A$102:$H$102,0))*고양시_Modal_split!C$3 * 0.01</f>
        <v>0.26582670160794758</v>
      </c>
      <c r="N108" s="206">
        <f>INDEX($A$102:$H$115,MATCH($L108,$B$102:$B$115,0),MATCH($M$101,$A$102:$H$102,0))*고양시_Modal_split!D$3 * 0.01</f>
        <v>44.649392059363485</v>
      </c>
      <c r="O108" s="206">
        <f>INDEX($A$102:$H$115,MATCH($L108,$B$102:$B$115,0),MATCH($M$101,$A$102:$H$102,0))*고양시_Modal_split!E$3 * 0.01</f>
        <v>5.401978329104363</v>
      </c>
      <c r="P108" s="206">
        <f>INDEX($A$102:$H$115,MATCH($L108,$B$102:$B$115,0),MATCH($M$101,$A$102:$H$102,0))*고양시_Modal_split!F$3 * 0.01</f>
        <v>8.7058244776602844</v>
      </c>
      <c r="Q108" s="206">
        <f>INDEX($A$102:$H$115,MATCH($L108,$B$102:$B$115,0),MATCH($M$101,$A$102:$H$102,0))*고양시_Modal_split!G$3 * 0.01</f>
        <v>0.87343059099754206</v>
      </c>
      <c r="R108" s="206">
        <f>INDEX($A$102:$H$115,MATCH($L108,$B$102:$B$115,0),MATCH($M$101,$A$102:$H$102,0))*고양시_Modal_split!H$3 * 0.01</f>
        <v>9.4938107717124146E-3</v>
      </c>
      <c r="S108" s="206">
        <f>INDEX($A$102:$H$115,MATCH($L108,$B$102:$B$115,0),MATCH($M$101,$A$102:$H$102,0))*고양시_Modal_split!I$3 * 0.01</f>
        <v>2.6392793945360506</v>
      </c>
      <c r="T108" s="206">
        <f>INDEX($A$102:$H$115,MATCH($L108,$B$102:$B$115,0),MATCH($M$101,$A$102:$H$102,0))*고양시_Modal_split!J$3 * 0.01</f>
        <v>28.899159989092592</v>
      </c>
      <c r="U108" s="206">
        <f>INDEX($A$102:$H$115,MATCH($L108,$B$102:$B$115,0),MATCH($M$101,$A$102:$H$102,0))*고양시_Modal_split!K$3 * 0.01</f>
        <v>0.1424071615756862</v>
      </c>
      <c r="V108" s="206">
        <f>INDEX($A$102:$H$115,MATCH($L108,$B$102:$B$115,0),MATCH($M$101,$A$102:$H$102,0))*고양시_Modal_split!L$3 * 0.01</f>
        <v>2.8671308530571493</v>
      </c>
      <c r="W108" s="206">
        <f>INDEX($A$102:$H$115,MATCH($L108,$B$102:$B$115,0),MATCH($M$101,$A$102:$H$102,0))*고양시_Modal_split!M$3 * 0.01</f>
        <v>0.21835764774938551</v>
      </c>
      <c r="X108" s="206">
        <f>INDEX($A$102:$H$115,MATCH($L108,$B$102:$B$115,0),MATCH($M$101,$A$102:$H$102,0))*고양시_Modal_split!N$3 * 0.01</f>
        <v>9.4938107717124146E-2</v>
      </c>
      <c r="Y108" s="206">
        <f>INDEX($A$102:$H$115,MATCH($L108,$B$102:$B$115,0),MATCH($M$101,$A$102:$H$102,0))*고양시_Modal_split!O$3 * 0.01</f>
        <v>0.17088859389082345</v>
      </c>
      <c r="Z108" s="209">
        <f>INDEX($A$102:$H$115,MATCH($L108,$B$102:$B$115,0),MATCH($M$101,$A$102:$H$102,0))*고양시_Modal_split!P$3 * 0.01</f>
        <v>94.938107717124154</v>
      </c>
      <c r="AA108" s="207">
        <f>INDEX($A$102:$H$115,MATCH($L108,$B$102:$B$115,0),MATCH($AA$101,$A$102:$H$102,0))*고양시_Modal_split!C$3 * 0.01</f>
        <v>2.0671038807852824</v>
      </c>
      <c r="AB108" s="207">
        <f>INDEX($A$102:$H$115,MATCH($L108,$B$102:$B$115,0),MATCH($AA$101,$A$102:$H$102,0))*고양시_Modal_split!D$3 * 0.01</f>
        <v>347.19962683332801</v>
      </c>
      <c r="AC108" s="207">
        <f>INDEX($A$102:$H$115,MATCH($L108,$B$102:$B$115,0),MATCH($AA$101,$A$102:$H$102,0))*고양시_Modal_split!E$3 * 0.01</f>
        <v>42.006503863100917</v>
      </c>
      <c r="AD108" s="207">
        <f>INDEX($A$102:$H$115,MATCH($L108,$B$102:$B$115,0),MATCH($AA$101,$A$102:$H$102,0))*고양시_Modal_split!F$3 * 0.01</f>
        <v>67.697652095718013</v>
      </c>
      <c r="AE108" s="207">
        <f>INDEX($A$102:$H$115,MATCH($L108,$B$102:$B$115,0),MATCH($AA$101,$A$102:$H$102,0))*고양시_Modal_split!G$3 * 0.01</f>
        <v>6.7919127511516422</v>
      </c>
      <c r="AF108" s="207">
        <f>INDEX($A$102:$H$115,MATCH($L108,$B$102:$B$115,0),MATCH($AA$101,$A$102:$H$102,0))*고양시_Modal_split!H$3 * 0.01</f>
        <v>7.3825138599474385E-2</v>
      </c>
      <c r="AG108" s="207">
        <f>INDEX($A$102:$H$115,MATCH($L108,$B$102:$B$115,0),MATCH($AA$101,$A$102:$H$102,0))*고양시_Modal_split!I$3 * 0.01</f>
        <v>20.523388530653879</v>
      </c>
      <c r="AH108" s="207">
        <f>INDEX($A$102:$H$115,MATCH($L108,$B$102:$B$115,0),MATCH($AA$101,$A$102:$H$102,0))*고양시_Modal_split!J$3 * 0.01</f>
        <v>224.72372189680001</v>
      </c>
      <c r="AI108" s="207">
        <f>INDEX($A$102:$H$115,MATCH($L108,$B$102:$B$115,0),MATCH($AA$101,$A$102:$H$102,0))*고양시_Modal_split!K$3 * 0.01</f>
        <v>1.1073770789921158</v>
      </c>
      <c r="AJ108" s="207">
        <f>INDEX($A$102:$H$115,MATCH($L108,$B$102:$B$115,0),MATCH($AA$101,$A$102:$H$102,0))*고양시_Modal_split!L$3 * 0.01</f>
        <v>22.295191857041264</v>
      </c>
      <c r="AK108" s="207">
        <f>INDEX($A$102:$H$115,MATCH($L108,$B$102:$B$115,0),MATCH($AA$101,$A$102:$H$102,0))*고양시_Modal_split!M$3 * 0.01</f>
        <v>1.6979781877879105</v>
      </c>
      <c r="AL108" s="207">
        <f>INDEX($A$102:$H$115,MATCH($L108,$B$102:$B$115,0),MATCH($AA$101,$A$102:$H$102,0))*고양시_Modal_split!N$3 * 0.01</f>
        <v>0.73825138599474383</v>
      </c>
      <c r="AM108" s="207">
        <f>INDEX($A$102:$H$115,MATCH($L108,$B$102:$B$115,0),MATCH($AA$101,$A$102:$H$102,0))*고양시_Modal_split!O$3 * 0.01</f>
        <v>1.3288524947905389</v>
      </c>
      <c r="AN108" s="207">
        <f>INDEX($A$102:$H$115,MATCH($L108,$B$102:$B$115,0),MATCH($AA$101,$A$102:$H$102,0))*고양시_Modal_split!P$3 * 0.01</f>
        <v>738.25138599474383</v>
      </c>
      <c r="AO108" s="303">
        <f>INDEX($A$102:$H$115,MATCH($L108,$B$102:$B$115,0),MATCH($AO$101,$A$102:$H$102,0))*고양시_Modal_split!C$3 * 0.01</f>
        <v>9.1625109410747002E-2</v>
      </c>
      <c r="AP108" s="303">
        <f>INDEX($A$102:$H$115,MATCH($L108,$B$102:$B$115,0),MATCH($AO$101,$A$102:$H$102,0))*고양시_Modal_split!D$3 * 0.01</f>
        <v>15.3897460556694</v>
      </c>
      <c r="AQ108" s="303">
        <f>INDEX($A$102:$H$115,MATCH($L108,$B$102:$B$115,0),MATCH($AO$101,$A$102:$H$102,0))*고양시_Modal_split!E$3 * 0.01</f>
        <v>1.8619531162398228</v>
      </c>
      <c r="AR108" s="303">
        <f>INDEX($A$102:$H$115,MATCH($L108,$B$102:$B$115,0),MATCH($AO$101,$A$102:$H$102,0))*고양시_Modal_split!F$3 * 0.01</f>
        <v>3.0007223332019648</v>
      </c>
      <c r="AS108" s="303">
        <f>INDEX($A$102:$H$115,MATCH($L108,$B$102:$B$115,0),MATCH($AO$101,$A$102:$H$102,0))*고양시_Modal_split!G$3 * 0.01</f>
        <v>0.30105393092102589</v>
      </c>
      <c r="AT108" s="303">
        <f>INDEX($A$102:$H$115,MATCH($L108,$B$102:$B$115,0),MATCH($AO$101,$A$102:$H$102,0))*고양시_Modal_split!H$3 * 0.01</f>
        <v>3.2723253360981077E-3</v>
      </c>
      <c r="AU108" s="303">
        <f>INDEX($A$102:$H$115,MATCH($L108,$B$102:$B$115,0),MATCH($AO$101,$A$102:$H$102,0))*고양시_Modal_split!I$3 * 0.01</f>
        <v>0.90970644343527385</v>
      </c>
      <c r="AV108" s="303">
        <f>INDEX($A$102:$H$115,MATCH($L108,$B$102:$B$115,0),MATCH($AO$101,$A$102:$H$102,0))*고양시_Modal_split!J$3 * 0.01</f>
        <v>9.9609583230826395</v>
      </c>
      <c r="AW108" s="303">
        <f>INDEX($A$102:$H$115,MATCH($L108,$B$102:$B$115,0),MATCH($AO$101,$A$102:$H$102,0))*고양시_Modal_split!K$3 * 0.01</f>
        <v>4.9084880041471608E-2</v>
      </c>
      <c r="AX108" s="303">
        <f>INDEX($A$102:$H$115,MATCH($L108,$B$102:$B$115,0),MATCH($AO$101,$A$102:$H$102,0))*고양시_Modal_split!L$3 * 0.01</f>
        <v>0.98824225150162848</v>
      </c>
      <c r="AY108" s="303">
        <f>INDEX($A$102:$H$115,MATCH($L108,$B$102:$B$115,0),MATCH($AO$101,$A$102:$H$102,0))*고양시_Modal_split!M$3 * 0.01</f>
        <v>7.5263482730256473E-2</v>
      </c>
      <c r="AZ108" s="303">
        <f>INDEX($A$102:$H$115,MATCH($L108,$B$102:$B$115,0),MATCH($AO$101,$A$102:$H$102,0))*고양시_Modal_split!N$3 * 0.01</f>
        <v>3.2723253360981079E-2</v>
      </c>
      <c r="BA108" s="207">
        <f>INDEX($A$102:$H$115,MATCH($L108,$B$102:$B$115,0),MATCH($AO$101,$A$102:$H$102,0))*고양시_Modal_split!O$3 * 0.01</f>
        <v>5.890185604976593E-2</v>
      </c>
      <c r="BB108" s="207">
        <f>INDEX($A$102:$H$115,MATCH($L108,$B$102:$B$115,0),MATCH($AO$101,$A$102:$H$102,0))*고양시_Modal_split!P$3 * 0.01</f>
        <v>32.723253360981076</v>
      </c>
      <c r="BC108" s="207">
        <f>INDEX($A$102:$H$115,MATCH($L108,$B$102:$B$115,0),MATCH($BC$101,$A$102:$H$102,0))*고양시_Modal_split!C$3 * 0.01</f>
        <v>2.4847487297829598E-4</v>
      </c>
      <c r="BD108" s="207">
        <f>INDEX($A$102:$H$115,MATCH($L108,$B$102:$B$115,0),MATCH($BC$101,$A$102:$H$102,0))*고양시_Modal_split!D$3 * 0.01</f>
        <v>4.1734904557747365E-2</v>
      </c>
      <c r="BE108" s="207">
        <f>INDEX($A$102:$H$115,MATCH($L108,$B$102:$B$115,0),MATCH($BC$101,$A$102:$H$102,0))*고양시_Modal_split!E$3 * 0.01</f>
        <v>5.0493643830232292E-3</v>
      </c>
      <c r="BF108" s="207">
        <f>INDEX($A$102:$H$115,MATCH($L108,$B$102:$B$115,0),MATCH($BC$101,$A$102:$H$102,0))*고양시_Modal_split!F$3 * 0.01</f>
        <v>8.1375520900391941E-3</v>
      </c>
      <c r="BG108" s="207">
        <f>INDEX($A$102:$H$115,MATCH($L108,$B$102:$B$115,0),MATCH($BC$101,$A$102:$H$102,0))*고양시_Modal_split!G$3 * 0.01</f>
        <v>8.1641743978582966E-4</v>
      </c>
      <c r="BH108" s="207">
        <f>INDEX($A$102:$H$115,MATCH($L108,$B$102:$B$115,0),MATCH($BC$101,$A$102:$H$102,0))*고양시_Modal_split!H$3 * 0.01</f>
        <v>8.8741026063677163E-6</v>
      </c>
      <c r="BI108" s="207">
        <f>INDEX($A$102:$H$115,MATCH($L108,$B$102:$B$115,0),MATCH($BC$101,$A$102:$H$102,0))*고양시_Modal_split!I$3 * 0.01</f>
        <v>2.4670005245702245E-3</v>
      </c>
      <c r="BJ108" s="207">
        <f>INDEX($A$102:$H$115,MATCH($L108,$B$102:$B$115,0),MATCH($BC$101,$A$102:$H$102,0))*고양시_Modal_split!J$3 * 0.01</f>
        <v>2.7012768333783327E-2</v>
      </c>
      <c r="BK108" s="207">
        <f>INDEX($A$102:$H$115,MATCH($L108,$B$102:$B$115,0),MATCH($BC$101,$A$102:$H$102,0))*고양시_Modal_split!K$3 * 0.01</f>
        <v>1.3311153909551573E-4</v>
      </c>
      <c r="BL108" s="207">
        <f>INDEX($A$102:$H$115,MATCH($L108,$B$102:$B$115,0),MATCH($BC$101,$A$102:$H$102,0))*고양시_Modal_split!L$3 * 0.01</f>
        <v>2.6799789871230499E-3</v>
      </c>
      <c r="BM108" s="207">
        <f>INDEX($A$102:$H$115,MATCH($L108,$B$102:$B$115,0),MATCH($BC$101,$A$102:$H$102,0))*고양시_Modal_split!M$3 * 0.01</f>
        <v>2.0410435994645742E-4</v>
      </c>
      <c r="BN108" s="207">
        <f>INDEX($A$102:$H$115,MATCH($L108,$B$102:$B$115,0),MATCH($BC$101,$A$102:$H$102,0))*고양시_Modal_split!N$3 * 0.01</f>
        <v>8.8741026063677146E-5</v>
      </c>
      <c r="BO108" s="207">
        <f>INDEX($A$102:$H$115,MATCH($L108,$B$102:$B$115,0),MATCH($BC$101,$A$102:$H$102,0))*고양시_Modal_split!O$3 * 0.01</f>
        <v>1.5973384691461885E-4</v>
      </c>
      <c r="BP108" s="207">
        <f>INDEX($A$102:$H$115,MATCH($L108,$B$102:$B$115,0),MATCH($BC$101,$A$102:$H$102,0))*고양시_Modal_split!P$3 * 0.01</f>
        <v>8.8741026063677148E-2</v>
      </c>
      <c r="BQ108" s="207">
        <f>INDEX($A$102:$H$115,MATCH($L108,$B$102:$B$115,0),MATCH($BQ$101,$A$102:$H$102,0))*고양시_Modal_split!C$3 * 0.01</f>
        <v>7.0401214010517427E-4</v>
      </c>
      <c r="BR108" s="207">
        <f>INDEX($A$102:$H$115,MATCH($L108,$B$102:$B$115,0),MATCH($BQ$101,$A$102:$H$102,0))*고양시_Modal_split!D$3 * 0.01</f>
        <v>0.11824889624695124</v>
      </c>
      <c r="BS108" s="207">
        <f>INDEX($A$102:$H$115,MATCH($L108,$B$102:$B$115,0),MATCH($BQ$101,$A$102:$H$102,0))*고양시_Modal_split!E$3 * 0.01</f>
        <v>1.4306532418565863E-2</v>
      </c>
      <c r="BT108" s="207">
        <f>INDEX($A$102:$H$115,MATCH($L108,$B$102:$B$115,0),MATCH($BQ$101,$A$102:$H$102,0))*고양시_Modal_split!F$3 * 0.01</f>
        <v>2.3056397588444459E-2</v>
      </c>
      <c r="BU108" s="207">
        <f>INDEX($A$102:$H$115,MATCH($L108,$B$102:$B$115,0),MATCH($BQ$101,$A$102:$H$102,0))*고양시_Modal_split!G$3 * 0.01</f>
        <v>2.313182746059858E-3</v>
      </c>
      <c r="BV108" s="207">
        <f>INDEX($A$102:$H$115,MATCH($L108,$B$102:$B$115,0),MATCH($BQ$101,$A$102:$H$102,0))*고양시_Modal_split!H$3 * 0.01</f>
        <v>2.5143290718041938E-5</v>
      </c>
      <c r="BW108" s="207">
        <f>INDEX($A$102:$H$115,MATCH($L108,$B$102:$B$115,0),MATCH($BQ$101,$A$102:$H$102,0))*고양시_Modal_split!I$3 * 0.01</f>
        <v>6.9898348196156578E-3</v>
      </c>
      <c r="BX108" s="207">
        <f>INDEX($A$102:$H$115,MATCH($L108,$B$102:$B$115,0),MATCH($BQ$101,$A$102:$H$102,0))*고양시_Modal_split!J$3 * 0.01</f>
        <v>7.6536176945719667E-2</v>
      </c>
      <c r="BY108" s="207">
        <f>INDEX($A$102:$H$115,MATCH($L108,$B$102:$B$115,0),MATCH($BQ$101,$A$102:$H$102,0))*고양시_Modal_split!K$3 * 0.01</f>
        <v>3.771493607706291E-4</v>
      </c>
      <c r="BZ108" s="207">
        <f>INDEX($A$102:$H$115,MATCH($L108,$B$102:$B$115,0),MATCH($BQ$101,$A$102:$H$102,0))*고양시_Modal_split!L$3 * 0.01</f>
        <v>7.5932737968486654E-3</v>
      </c>
      <c r="CA108" s="207">
        <f>INDEX($A$102:$H$115,MATCH($L108,$B$102:$B$115,0),MATCH($BQ$101,$A$102:$H$102,0))*고양시_Modal_split!M$3 * 0.01</f>
        <v>5.782956865149645E-4</v>
      </c>
      <c r="CB108" s="207">
        <f>INDEX($A$102:$H$115,MATCH($L108,$B$102:$B$115,0),MATCH($BQ$101,$A$102:$H$102,0))*고양시_Modal_split!N$3 * 0.01</f>
        <v>2.5143290718041944E-4</v>
      </c>
      <c r="CC108" s="207">
        <f>INDEX($A$102:$H$115,MATCH($L108,$B$102:$B$115,0),MATCH($BQ$101,$A$102:$H$102,0))*고양시_Modal_split!O$3 * 0.01</f>
        <v>4.5257923292475489E-4</v>
      </c>
      <c r="CD108" s="207">
        <f>INDEX($A$102:$H$115,MATCH($L108,$B$102:$B$115,0),MATCH($BQ$101,$A$102:$H$102,0))*고양시_Modal_split!P$3 * 0.01</f>
        <v>0.25143290718041938</v>
      </c>
      <c r="CE108" s="304">
        <f t="shared" si="51"/>
        <v>2.4255081788170605</v>
      </c>
      <c r="CF108" s="304">
        <f t="shared" si="47"/>
        <v>407.39874874916558</v>
      </c>
      <c r="CG108" s="304">
        <f t="shared" si="47"/>
        <v>49.289791205246701</v>
      </c>
      <c r="CH108" s="304">
        <f t="shared" si="47"/>
        <v>79.435392856258744</v>
      </c>
      <c r="CI108" s="304">
        <f t="shared" si="47"/>
        <v>7.9695268732560569</v>
      </c>
      <c r="CJ108" s="304">
        <f t="shared" si="47"/>
        <v>8.6625292100609333E-2</v>
      </c>
      <c r="CK108" s="304">
        <f t="shared" si="47"/>
        <v>24.08183120396939</v>
      </c>
      <c r="CL108" s="304">
        <f t="shared" si="47"/>
        <v>263.68738915425473</v>
      </c>
      <c r="CM108" s="304">
        <f t="shared" si="47"/>
        <v>1.2993793815091397</v>
      </c>
      <c r="CN108" s="304">
        <f t="shared" si="47"/>
        <v>26.160838214384015</v>
      </c>
      <c r="CO108" s="304">
        <f t="shared" si="47"/>
        <v>1.9923817183140142</v>
      </c>
      <c r="CP108" s="304">
        <f t="shared" si="47"/>
        <v>0.86625292100609319</v>
      </c>
      <c r="CQ108" s="304">
        <f t="shared" si="47"/>
        <v>1.5592552578109677</v>
      </c>
      <c r="CR108" s="304">
        <f t="shared" si="47"/>
        <v>866.25292100609306</v>
      </c>
      <c r="CS108" s="305">
        <f t="shared" si="52"/>
        <v>0</v>
      </c>
      <c r="CV108" s="267"/>
      <c r="CW108" s="267" t="s">
        <v>13</v>
      </c>
      <c r="CX108" s="267">
        <f>INDEX($M$101:$Z$115,MATCH($CW108,$L$101:$L$115,0),MATCH(CX$102,$M$102:$Z$102,0))/INDEX(고양시_재차인원!$D$4:$H$35,MATCH("고양시",고양시_재차인원!$B$4:$B$35,0),MATCH($CX$101,고양시_재차인원!$D$4:$H$4,0))</f>
        <v>39.865528624431683</v>
      </c>
      <c r="CY108" s="267">
        <f>INDEX($M$101:$Z$115,MATCH($CW108,$L$101:$L$115,0),MATCH(CY$102,$M$102:$Z$102,0))/INDEX(고양시_재차인원!$K$4:$O$20,MATCH("경기도",고양시_재차인원!$K$4:$K$20,0),MATCH(CY$102,고양시_재차인원!$K$4:$O$4,0))</f>
        <v>3.2976070759681888E-4</v>
      </c>
      <c r="CZ108" s="267">
        <f>INDEX($M$101:$Z$115,MATCH($CW108,$L$101:$L$115,0),MATCH(CZ$102,$M$102:$Z$102,0))/INDEX(고양시_재차인원!$K$4:$O$20,MATCH("경기도",고양시_재차인원!$K$4:$K$20,0),MATCH(CZ$102,고양시_재차인원!$K$4:$O$4,0))</f>
        <v>9.1673476711915627E-2</v>
      </c>
      <c r="DA108" s="267">
        <f>INDEX($M$101:$Z$115,MATCH($CW108,$L$101:$L$115,0),MATCH(DA$102,$M$102:$Z$102,0))/INDEX(고양시_재차인원!$D$4:$H$35,MATCH("고양시",고양시_재차인원!$B$4:$B$35,0),MATCH($CX$101,고양시_재차인원!$D$4:$H$4,0))</f>
        <v>2.5599382616581687</v>
      </c>
      <c r="DB108" s="267">
        <f>INDEX($AA$101:$AN$115,MATCH($CW108,$L$101:$L$115,0),MATCH(DB$102,$AA$102:$AN$102,0))/INDEX(고양시_재차인원!$D$4:$H$35,MATCH("고양시",고양시_재차인원!$B$4:$B$35,0),MATCH($DB$101,고양시_재차인원!$D$4:$H$4,0))</f>
        <v>246.24087009455889</v>
      </c>
      <c r="DC108" s="267">
        <f>INDEX($AA$101:$AN$115,MATCH($CW108,$L$101:$L$115,0),MATCH(DC$102,$AA$102:$AN$102,0))/INDEX(고양시_재차인원!$K$4:$O$20,MATCH("경기도",고양시_재차인원!$K$4:$K$20,0),MATCH(DC$102,고양시_재차인원!$K$4:$O$4,0))</f>
        <v>2.5642632372168944E-3</v>
      </c>
      <c r="DD108" s="267">
        <f>INDEX($AA$101:$AN$115,MATCH($CW108,$L$101:$L$115,0),MATCH(DD$102,$AA$102:$AN$102,0))/INDEX(고양시_재차인원!$K$4:$O$20,MATCH("경기도",고양시_재차인원!$K$4:$K$20,0),MATCH(DD$102,고양시_재차인원!$K$4:$O$4,0))</f>
        <v>0.71286517994629661</v>
      </c>
      <c r="DE108" s="267">
        <f>INDEX($AA$101:$AN$115,MATCH($CW108,$L$101:$L$115,0),MATCH(DE$102,$AA$102:$AN$102,0))/INDEX(고양시_재차인원!$D$4:$H$35,MATCH("고양시",고양시_재차인원!$B$4:$B$35,0),MATCH($DB$101,고양시_재차인원!$D$4:$H$4,0))</f>
        <v>15.812192806412245</v>
      </c>
      <c r="DF108" s="267">
        <f>INDEX($AO$101:$BB$115,MATCH($CW108,$L$101:$L$115,0),MATCH(DF$102,$AO$102:$BB$102,0))/INDEX(고양시_재차인원!$D$4:$H$35,MATCH("고양시",고양시_재차인원!$B$4:$B$35,0),MATCH($DF$101,고양시_재차인원!$D$4:$H$4,0))</f>
        <v>11.838266196668769</v>
      </c>
      <c r="DG108" s="267">
        <f>INDEX($AO$101:$BB$115,MATCH($CW108,$L$101:$L$115,0),MATCH(DG$102,$AO$102:$BB$102,0))/INDEX(고양시_재차인원!$K$4:$O$20,MATCH("경기도",고양시_재차인원!$K$4:$K$20,0),MATCH(DG$102,고양시_재차인원!$K$4:$O$4,0))</f>
        <v>1.1366187343168141E-4</v>
      </c>
      <c r="DH108" s="267">
        <f>INDEX($AO$101:$BB$115,MATCH($CW108,$L$101:$L$115,0),MATCH(DH$102,$AO$102:$BB$102,0))/INDEX(고양시_재차인원!$K$4:$O$20,MATCH("경기도",고양시_재차인원!$K$4:$K$20,0),MATCH(DH$102,고양시_재차인원!$K$4:$O$4,0))</f>
        <v>3.1598000814007432E-2</v>
      </c>
      <c r="DI108" s="267">
        <f>INDEX($AO$101:$BB$115,MATCH($CW108,$L$101:$L$115,0),MATCH(DI$102,$AO$102:$BB$102,0))/INDEX(고양시_재차인원!$D$4:$H$35,MATCH("고양시",고양시_재차인원!$B$4:$B$35,0),MATCH($DF$101,고양시_재차인원!$D$4:$H$4,0))</f>
        <v>0.76018634730894497</v>
      </c>
      <c r="DJ108" s="267">
        <f>INDEX($BC$101:$BP$115,MATCH($CW108,$L$101:$L$115,0),MATCH(DJ$102,$BC$102:$BP$102,0))/INDEX(고양시_재차인원!$D$4:$H$35,MATCH("고양시",고양시_재차인원!$B$4:$B$35,0),MATCH($DJ$101,고양시_재차인원!$D$4:$H$4,0))</f>
        <v>3.0687429821873061E-2</v>
      </c>
      <c r="DK108" s="267">
        <f>INDEX($BC$101:$BP$115,MATCH($CW108,$L$101:$L$115,0),MATCH(DK$102,$BC$102:$BP$102,0))/INDEX(고양시_재차인원!$K$4:$O$20,MATCH("경기도",고양시_재차인원!$K$4:$K$20,0),MATCH(DK$102,고양시_재차인원!$K$4:$O$4,0))</f>
        <v>3.0823558896727043E-7</v>
      </c>
      <c r="DL108" s="267">
        <f>INDEX($BC$101:$BP$115,MATCH($CW108,$L$101:$L$115,0),MATCH(DL$102,$BC$102:$BP$102,0))/INDEX(고양시_재차인원!$K$4:$O$20,MATCH("경기도",고양시_재차인원!$K$4:$K$20,0),MATCH(DL$102,고양시_재차인원!$K$4:$O$4,0))</f>
        <v>8.5689493732901161E-5</v>
      </c>
      <c r="DM108" s="267">
        <f>INDEX($BC$101:$BP$115,MATCH($CW108,$L$101:$L$115,0),MATCH(DM$102,$BC$102:$BP$102,0))/INDEX(고양시_재차인원!$D$4:$H$35,MATCH("고양시",고양시_재차인원!$B$4:$B$35,0),MATCH($DJ$101,고양시_재차인원!$D$4:$H$4,0))</f>
        <v>1.9705727846493011E-3</v>
      </c>
      <c r="DN108" s="267">
        <f>INDEX($BQ$101:$CD$115,MATCH($CW108,$L$101:$L$115,0),MATCH(DN$102,$BQ$102:$CD$102,0))/INDEX(고양시_재차인원!$D$4:$H$35,MATCH("고양시",고양시_재차인원!$B$4:$B$35,0),MATCH($DN$101,고양시_재차인원!$D$4:$H$4,0))</f>
        <v>9.3848330354723203E-2</v>
      </c>
      <c r="DO108" s="267">
        <f>INDEX($BQ$101:$CD$115,MATCH($CW108,$L$101:$L$115,0),MATCH(DO$102,$BQ$102:$CD$102,0))/INDEX(고양시_재차인원!$K$4:$O$20,MATCH("경기도",고양시_재차인원!$K$4:$K$20,0),MATCH(DO$102,고양시_재차인원!$K$4:$O$4,0))</f>
        <v>8.7333416874060223E-7</v>
      </c>
      <c r="DP108" s="267">
        <f>INDEX($BQ$101:$CD$115,MATCH($CW108,$L$101:$L$115,0),MATCH(DP$102,$BQ$102:$CD$102,0))/INDEX(고양시_재차인원!$K$4:$O$20,MATCH("경기도",고양시_재차인원!$K$4:$K$20,0),MATCH(DP$102,고양시_재차인원!$K$4:$O$4,0))</f>
        <v>2.4278689890988738E-4</v>
      </c>
      <c r="DQ108" s="267">
        <f>INDEX($BQ$101:$CD$115,MATCH($CW108,$L$101:$L$115,0),MATCH(DQ$102,$BQ$102:$CD$102,0))/INDEX(고양시_재차인원!$D$4:$H$35,MATCH("고양시",고양시_재차인원!$B$4:$B$35,0),MATCH($DN$101,고양시_재차인원!$D$4:$H$4,0))</f>
        <v>6.0264077752767188E-3</v>
      </c>
      <c r="DR108" s="270">
        <f t="shared" si="53"/>
        <v>298.06920067583593</v>
      </c>
      <c r="DS108" s="270">
        <f t="shared" si="48"/>
        <v>3.0088673880031024E-3</v>
      </c>
      <c r="DT108" s="270">
        <f t="shared" si="48"/>
        <v>0.83646513386486243</v>
      </c>
      <c r="DU108" s="270">
        <f t="shared" si="48"/>
        <v>19.140314395939285</v>
      </c>
      <c r="DW108" s="278"/>
      <c r="DX108" s="278" t="s">
        <v>13</v>
      </c>
      <c r="DY108" s="281">
        <f t="shared" si="54"/>
        <v>317.20951507177523</v>
      </c>
      <c r="DZ108" s="281">
        <f t="shared" si="55"/>
        <v>0.83947400125286553</v>
      </c>
      <c r="EB108" s="278"/>
      <c r="EC108" s="278" t="s">
        <v>13</v>
      </c>
      <c r="ED108" s="281">
        <f t="shared" si="56"/>
        <v>317.20951507177523</v>
      </c>
      <c r="EE108" s="281">
        <f t="shared" si="49"/>
        <v>0.83947400125286553</v>
      </c>
      <c r="EL108" s="306" t="s">
        <v>12</v>
      </c>
      <c r="EM108" s="306" t="s">
        <v>362</v>
      </c>
      <c r="EN108" s="306">
        <v>22890.217400000001</v>
      </c>
      <c r="EO108" s="306">
        <v>0.3417724802282317</v>
      </c>
      <c r="EP108" s="307">
        <v>849106</v>
      </c>
      <c r="EQ108" s="308">
        <f t="shared" si="57"/>
        <v>70.51175874159135</v>
      </c>
      <c r="ER108" s="308">
        <f t="shared" si="58"/>
        <v>0.18660470582916411</v>
      </c>
      <c r="ET108" s="420" t="s">
        <v>12</v>
      </c>
      <c r="EU108" s="420" t="s">
        <v>362</v>
      </c>
      <c r="EV108" s="420">
        <v>22890.217400000001</v>
      </c>
      <c r="EW108" s="420">
        <v>0.3417724802282317</v>
      </c>
      <c r="EX108" s="421">
        <v>849106</v>
      </c>
      <c r="EY108" s="422">
        <f t="shared" si="59"/>
        <v>68.502173617455995</v>
      </c>
      <c r="EZ108" s="422">
        <f t="shared" si="60"/>
        <v>0.18128647171303294</v>
      </c>
      <c r="FA108">
        <v>0</v>
      </c>
      <c r="FD108" s="306" t="s">
        <v>12</v>
      </c>
      <c r="FE108" s="306" t="s">
        <v>362</v>
      </c>
      <c r="FF108" s="306">
        <v>22890.217400000001</v>
      </c>
      <c r="FG108" s="306">
        <v>0.3417724802282317</v>
      </c>
      <c r="FH108" s="307">
        <v>849106</v>
      </c>
      <c r="FI108" s="308">
        <f t="shared" si="61"/>
        <v>68.502173617455995</v>
      </c>
      <c r="FJ108" s="308">
        <f t="shared" si="50"/>
        <v>0.18128647171303294</v>
      </c>
      <c r="FL108" s="101"/>
      <c r="FM108" s="101"/>
      <c r="FN108" s="101"/>
      <c r="FO108" s="101"/>
      <c r="FP108" s="374"/>
      <c r="FQ108" s="404"/>
      <c r="FR108" s="404"/>
    </row>
    <row r="109" spans="1:174" ht="25">
      <c r="A109" s="205"/>
      <c r="B109" s="205" t="s">
        <v>301</v>
      </c>
      <c r="C109" s="400">
        <f>$AB67*KTDB_TripDistribution_2035!L$12 * (1+KTDB_발생량도착량_증가율!$C$8*2) * (1+KTDB_발생량도착량_증가율!$D$7*5) * (1+KTDB_발생량도착량_증가율!$E$7*5)</f>
        <v>1667.2382882379402</v>
      </c>
      <c r="D109" s="400">
        <f>$AB67*KTDB_TripDistribution_2035!M$12 * (1+KTDB_발생량도착량_증가율!$C$8*2) * (1+KTDB_발생량도착량_증가율!$D$7*5) * (1+KTDB_발생량도착량_증가율!$E$7*5)</f>
        <v>12964.667262408</v>
      </c>
      <c r="E109" s="400">
        <f>$AB67*KTDB_TripDistribution_2035!N$12 * (1+KTDB_발생량도착량_증가율!$C$8*2) * (1+KTDB_발생량도착량_증가율!$D$7*5) * (1+KTDB_발생량도착량_증가율!$E$7*5)</f>
        <v>574.66345423375117</v>
      </c>
      <c r="F109" s="400">
        <f>$AB67*KTDB_TripDistribution_2035!O$12 * (1+KTDB_발생량도착량_증가율!$C$8*2) * (1+KTDB_발생량도착량_증가율!$D$7*5) * (1+KTDB_발생량도착량_증가율!$E$7*5)</f>
        <v>1.5584093674135571</v>
      </c>
      <c r="G109" s="400">
        <f>$AB67*KTDB_TripDistribution_2035!P$12 * (1+KTDB_발생량도착량_증가율!$C$8*2) * (1+KTDB_발생량도착량_증가율!$D$7*5) * (1+KTDB_발생량도착량_증가율!$E$7*5)</f>
        <v>4.4154932076717577</v>
      </c>
      <c r="H109" s="400">
        <f>$AB67*KTDB_TripDistribution_2035!Q$12 * (1+KTDB_발생량도착량_증가율!$C$8*2) * (1+KTDB_발생량도착량_증가율!$D$7*5) * (1+KTDB_발생량도착량_증가율!$E$7*5)</f>
        <v>15212.542907454777</v>
      </c>
      <c r="I109" s="56"/>
      <c r="J109" s="56"/>
      <c r="K109" s="206"/>
      <c r="L109" s="206" t="s">
        <v>301</v>
      </c>
      <c r="M109" s="206">
        <f>INDEX($A$102:$H$115,MATCH($L109,$B$102:$B$115,0),MATCH($M$101,$A$102:$H$102,0))*고양시_Modal_split!C$3 * 0.01</f>
        <v>4.6682672070662328</v>
      </c>
      <c r="N109" s="206">
        <f>INDEX($A$102:$H$115,MATCH($L109,$B$102:$B$115,0),MATCH($M$101,$A$102:$H$102,0))*고양시_Modal_split!D$3 * 0.01</f>
        <v>784.10216695830331</v>
      </c>
      <c r="O109" s="206">
        <f>INDEX($A$102:$H$115,MATCH($L109,$B$102:$B$115,0),MATCH($M$101,$A$102:$H$102,0))*고양시_Modal_split!E$3 * 0.01</f>
        <v>94.86585860073879</v>
      </c>
      <c r="P109" s="206">
        <f>INDEX($A$102:$H$115,MATCH($L109,$B$102:$B$115,0),MATCH($M$101,$A$102:$H$102,0))*고양시_Modal_split!F$3 * 0.01</f>
        <v>152.88575103141912</v>
      </c>
      <c r="Q109" s="206">
        <f>INDEX($A$102:$H$115,MATCH($L109,$B$102:$B$115,0),MATCH($M$101,$A$102:$H$102,0))*고양시_Modal_split!G$3 * 0.01</f>
        <v>15.338592251789049</v>
      </c>
      <c r="R109" s="206">
        <f>INDEX($A$102:$H$115,MATCH($L109,$B$102:$B$115,0),MATCH($M$101,$A$102:$H$102,0))*고양시_Modal_split!H$3 * 0.01</f>
        <v>0.16672382882379402</v>
      </c>
      <c r="S109" s="206">
        <f>INDEX($A$102:$H$115,MATCH($L109,$B$102:$B$115,0),MATCH($M$101,$A$102:$H$102,0))*고양시_Modal_split!I$3 * 0.01</f>
        <v>46.349224413014738</v>
      </c>
      <c r="T109" s="206">
        <f>INDEX($A$102:$H$115,MATCH($L109,$B$102:$B$115,0),MATCH($M$101,$A$102:$H$102,0))*고양시_Modal_split!J$3 * 0.01</f>
        <v>507.507334939629</v>
      </c>
      <c r="U109" s="206">
        <f>INDEX($A$102:$H$115,MATCH($L109,$B$102:$B$115,0),MATCH($M$101,$A$102:$H$102,0))*고양시_Modal_split!K$3 * 0.01</f>
        <v>2.5008574323569102</v>
      </c>
      <c r="V109" s="206">
        <f>INDEX($A$102:$H$115,MATCH($L109,$B$102:$B$115,0),MATCH($M$101,$A$102:$H$102,0))*고양시_Modal_split!L$3 * 0.01</f>
        <v>50.350596304785796</v>
      </c>
      <c r="W109" s="206">
        <f>INDEX($A$102:$H$115,MATCH($L109,$B$102:$B$115,0),MATCH($M$101,$A$102:$H$102,0))*고양시_Modal_split!M$3 * 0.01</f>
        <v>3.8346480629472621</v>
      </c>
      <c r="X109" s="206">
        <f>INDEX($A$102:$H$115,MATCH($L109,$B$102:$B$115,0),MATCH($M$101,$A$102:$H$102,0))*고양시_Modal_split!N$3 * 0.01</f>
        <v>1.6672382882379404</v>
      </c>
      <c r="Y109" s="206">
        <f>INDEX($A$102:$H$115,MATCH($L109,$B$102:$B$115,0),MATCH($M$101,$A$102:$H$102,0))*고양시_Modal_split!O$3 * 0.01</f>
        <v>3.0010289188282924</v>
      </c>
      <c r="Z109" s="209">
        <f>INDEX($A$102:$H$115,MATCH($L109,$B$102:$B$115,0),MATCH($M$101,$A$102:$H$102,0))*고양시_Modal_split!P$3 * 0.01</f>
        <v>1667.2382882379404</v>
      </c>
      <c r="AA109" s="207">
        <f>INDEX($A$102:$H$115,MATCH($L109,$B$102:$B$115,0),MATCH($AA$101,$A$102:$H$102,0))*고양시_Modal_split!C$3 * 0.01</f>
        <v>36.301068334742396</v>
      </c>
      <c r="AB109" s="207">
        <f>INDEX($A$102:$H$115,MATCH($L109,$B$102:$B$115,0),MATCH($AA$101,$A$102:$H$102,0))*고양시_Modal_split!D$3 * 0.01</f>
        <v>6097.2830135104832</v>
      </c>
      <c r="AC109" s="207">
        <f>INDEX($A$102:$H$115,MATCH($L109,$B$102:$B$115,0),MATCH($AA$101,$A$102:$H$102,0))*고양시_Modal_split!E$3 * 0.01</f>
        <v>737.68956723101508</v>
      </c>
      <c r="AD109" s="207">
        <f>INDEX($A$102:$H$115,MATCH($L109,$B$102:$B$115,0),MATCH($AA$101,$A$102:$H$102,0))*고양시_Modal_split!F$3 * 0.01</f>
        <v>1188.8599879628136</v>
      </c>
      <c r="AE109" s="207">
        <f>INDEX($A$102:$H$115,MATCH($L109,$B$102:$B$115,0),MATCH($AA$101,$A$102:$H$102,0))*고양시_Modal_split!G$3 * 0.01</f>
        <v>119.2749388141536</v>
      </c>
      <c r="AF109" s="207">
        <f>INDEX($A$102:$H$115,MATCH($L109,$B$102:$B$115,0),MATCH($AA$101,$A$102:$H$102,0))*고양시_Modal_split!H$3 * 0.01</f>
        <v>1.2964667262408001</v>
      </c>
      <c r="AG109" s="207">
        <f>INDEX($A$102:$H$115,MATCH($L109,$B$102:$B$115,0),MATCH($AA$101,$A$102:$H$102,0))*고양시_Modal_split!I$3 * 0.01</f>
        <v>360.4177498949424</v>
      </c>
      <c r="AH109" s="207">
        <f>INDEX($A$102:$H$115,MATCH($L109,$B$102:$B$115,0),MATCH($AA$101,$A$102:$H$102,0))*고양시_Modal_split!J$3 * 0.01</f>
        <v>3946.4447146769958</v>
      </c>
      <c r="AI109" s="207">
        <f>INDEX($A$102:$H$115,MATCH($L109,$B$102:$B$115,0),MATCH($AA$101,$A$102:$H$102,0))*고양시_Modal_split!K$3 * 0.01</f>
        <v>19.447000893612</v>
      </c>
      <c r="AJ109" s="207">
        <f>INDEX($A$102:$H$115,MATCH($L109,$B$102:$B$115,0),MATCH($AA$101,$A$102:$H$102,0))*고양시_Modal_split!L$3 * 0.01</f>
        <v>391.53295132472158</v>
      </c>
      <c r="AK109" s="207">
        <f>INDEX($A$102:$H$115,MATCH($L109,$B$102:$B$115,0),MATCH($AA$101,$A$102:$H$102,0))*고양시_Modal_split!M$3 * 0.01</f>
        <v>29.8187347035384</v>
      </c>
      <c r="AL109" s="207">
        <f>INDEX($A$102:$H$115,MATCH($L109,$B$102:$B$115,0),MATCH($AA$101,$A$102:$H$102,0))*고양시_Modal_split!N$3 * 0.01</f>
        <v>12.964667262408001</v>
      </c>
      <c r="AM109" s="207">
        <f>INDEX($A$102:$H$115,MATCH($L109,$B$102:$B$115,0),MATCH($AA$101,$A$102:$H$102,0))*고양시_Modal_split!O$3 * 0.01</f>
        <v>23.336401072334397</v>
      </c>
      <c r="AN109" s="207">
        <f>INDEX($A$102:$H$115,MATCH($L109,$B$102:$B$115,0),MATCH($AA$101,$A$102:$H$102,0))*고양시_Modal_split!P$3 * 0.01</f>
        <v>12964.667262408</v>
      </c>
      <c r="AO109" s="303">
        <f>INDEX($A$102:$H$115,MATCH($L109,$B$102:$B$115,0),MATCH($AO$101,$A$102:$H$102,0))*고양시_Modal_split!C$3 * 0.01</f>
        <v>1.6090576718545031</v>
      </c>
      <c r="AP109" s="303">
        <f>INDEX($A$102:$H$115,MATCH($L109,$B$102:$B$115,0),MATCH($AO$101,$A$102:$H$102,0))*고양시_Modal_split!D$3 * 0.01</f>
        <v>270.26422252613321</v>
      </c>
      <c r="AQ109" s="303">
        <f>INDEX($A$102:$H$115,MATCH($L109,$B$102:$B$115,0),MATCH($AO$101,$A$102:$H$102,0))*고양시_Modal_split!E$3 * 0.01</f>
        <v>32.698350545900439</v>
      </c>
      <c r="AR109" s="303">
        <f>INDEX($A$102:$H$115,MATCH($L109,$B$102:$B$115,0),MATCH($AO$101,$A$102:$H$102,0))*고양시_Modal_split!F$3 * 0.01</f>
        <v>52.696638753234986</v>
      </c>
      <c r="AS109" s="303">
        <f>INDEX($A$102:$H$115,MATCH($L109,$B$102:$B$115,0),MATCH($AO$101,$A$102:$H$102,0))*고양시_Modal_split!G$3 * 0.01</f>
        <v>5.28690377895051</v>
      </c>
      <c r="AT109" s="303">
        <f>INDEX($A$102:$H$115,MATCH($L109,$B$102:$B$115,0),MATCH($AO$101,$A$102:$H$102,0))*고양시_Modal_split!H$3 * 0.01</f>
        <v>5.7466345423375122E-2</v>
      </c>
      <c r="AU109" s="303">
        <f>INDEX($A$102:$H$115,MATCH($L109,$B$102:$B$115,0),MATCH($AO$101,$A$102:$H$102,0))*고양시_Modal_split!I$3 * 0.01</f>
        <v>15.975644027698282</v>
      </c>
      <c r="AV109" s="303">
        <f>INDEX($A$102:$H$115,MATCH($L109,$B$102:$B$115,0),MATCH($AO$101,$A$102:$H$102,0))*고양시_Modal_split!J$3 * 0.01</f>
        <v>174.92755546875387</v>
      </c>
      <c r="AW109" s="303">
        <f>INDEX($A$102:$H$115,MATCH($L109,$B$102:$B$115,0),MATCH($AO$101,$A$102:$H$102,0))*고양시_Modal_split!K$3 * 0.01</f>
        <v>0.8619951813506268</v>
      </c>
      <c r="AX109" s="303">
        <f>INDEX($A$102:$H$115,MATCH($L109,$B$102:$B$115,0),MATCH($AO$101,$A$102:$H$102,0))*고양시_Modal_split!L$3 * 0.01</f>
        <v>17.354836317859284</v>
      </c>
      <c r="AY109" s="303">
        <f>INDEX($A$102:$H$115,MATCH($L109,$B$102:$B$115,0),MATCH($AO$101,$A$102:$H$102,0))*고양시_Modal_split!M$3 * 0.01</f>
        <v>1.3217259447376275</v>
      </c>
      <c r="AZ109" s="303">
        <f>INDEX($A$102:$H$115,MATCH($L109,$B$102:$B$115,0),MATCH($AO$101,$A$102:$H$102,0))*고양시_Modal_split!N$3 * 0.01</f>
        <v>0.5746634542337512</v>
      </c>
      <c r="BA109" s="207">
        <f>INDEX($A$102:$H$115,MATCH($L109,$B$102:$B$115,0),MATCH($AO$101,$A$102:$H$102,0))*고양시_Modal_split!O$3 * 0.01</f>
        <v>1.0343942176207521</v>
      </c>
      <c r="BB109" s="207">
        <f>INDEX($A$102:$H$115,MATCH($L109,$B$102:$B$115,0),MATCH($AO$101,$A$102:$H$102,0))*고양시_Modal_split!P$3 * 0.01</f>
        <v>574.66345423375117</v>
      </c>
      <c r="BC109" s="207">
        <f>INDEX($A$102:$H$115,MATCH($L109,$B$102:$B$115,0),MATCH($BC$101,$A$102:$H$102,0))*고양시_Modal_split!C$3 * 0.01</f>
        <v>4.3635462287579599E-3</v>
      </c>
      <c r="BD109" s="207">
        <f>INDEX($A$102:$H$115,MATCH($L109,$B$102:$B$115,0),MATCH($BC$101,$A$102:$H$102,0))*고양시_Modal_split!D$3 * 0.01</f>
        <v>0.73291992549459595</v>
      </c>
      <c r="BE109" s="207">
        <f>INDEX($A$102:$H$115,MATCH($L109,$B$102:$B$115,0),MATCH($BC$101,$A$102:$H$102,0))*고양시_Modal_split!E$3 * 0.01</f>
        <v>8.8673493005831397E-2</v>
      </c>
      <c r="BF109" s="207">
        <f>INDEX($A$102:$H$115,MATCH($L109,$B$102:$B$115,0),MATCH($BC$101,$A$102:$H$102,0))*고양시_Modal_split!F$3 * 0.01</f>
        <v>0.1429061389918232</v>
      </c>
      <c r="BG109" s="207">
        <f>INDEX($A$102:$H$115,MATCH($L109,$B$102:$B$115,0),MATCH($BC$101,$A$102:$H$102,0))*고양시_Modal_split!G$3 * 0.01</f>
        <v>1.4337366180204725E-2</v>
      </c>
      <c r="BH109" s="207">
        <f>INDEX($A$102:$H$115,MATCH($L109,$B$102:$B$115,0),MATCH($BC$101,$A$102:$H$102,0))*고양시_Modal_split!H$3 * 0.01</f>
        <v>1.5584093674135571E-4</v>
      </c>
      <c r="BI109" s="207">
        <f>INDEX($A$102:$H$115,MATCH($L109,$B$102:$B$115,0),MATCH($BC$101,$A$102:$H$102,0))*고양시_Modal_split!I$3 * 0.01</f>
        <v>4.3323780414096888E-2</v>
      </c>
      <c r="BJ109" s="207">
        <f>INDEX($A$102:$H$115,MATCH($L109,$B$102:$B$115,0),MATCH($BC$101,$A$102:$H$102,0))*고양시_Modal_split!J$3 * 0.01</f>
        <v>0.4743798114406868</v>
      </c>
      <c r="BK109" s="207">
        <f>INDEX($A$102:$H$115,MATCH($L109,$B$102:$B$115,0),MATCH($BC$101,$A$102:$H$102,0))*고양시_Modal_split!K$3 * 0.01</f>
        <v>2.3376140511203354E-3</v>
      </c>
      <c r="BL109" s="207">
        <f>INDEX($A$102:$H$115,MATCH($L109,$B$102:$B$115,0),MATCH($BC$101,$A$102:$H$102,0))*고양시_Modal_split!L$3 * 0.01</f>
        <v>4.7063962895889419E-2</v>
      </c>
      <c r="BM109" s="207">
        <f>INDEX($A$102:$H$115,MATCH($L109,$B$102:$B$115,0),MATCH($BC$101,$A$102:$H$102,0))*고양시_Modal_split!M$3 * 0.01</f>
        <v>3.5843415450511813E-3</v>
      </c>
      <c r="BN109" s="207">
        <f>INDEX($A$102:$H$115,MATCH($L109,$B$102:$B$115,0),MATCH($BC$101,$A$102:$H$102,0))*고양시_Modal_split!N$3 * 0.01</f>
        <v>1.5584093674135572E-3</v>
      </c>
      <c r="BO109" s="207">
        <f>INDEX($A$102:$H$115,MATCH($L109,$B$102:$B$115,0),MATCH($BC$101,$A$102:$H$102,0))*고양시_Modal_split!O$3 * 0.01</f>
        <v>2.8051368613444027E-3</v>
      </c>
      <c r="BP109" s="207">
        <f>INDEX($A$102:$H$115,MATCH($L109,$B$102:$B$115,0),MATCH($BC$101,$A$102:$H$102,0))*고양시_Modal_split!P$3 * 0.01</f>
        <v>1.5584093674135571</v>
      </c>
      <c r="BQ109" s="207">
        <f>INDEX($A$102:$H$115,MATCH($L109,$B$102:$B$115,0),MATCH($BQ$101,$A$102:$H$102,0))*고양시_Modal_split!C$3 * 0.01</f>
        <v>1.2363380981480921E-2</v>
      </c>
      <c r="BR109" s="207">
        <f>INDEX($A$102:$H$115,MATCH($L109,$B$102:$B$115,0),MATCH($BQ$101,$A$102:$H$102,0))*고양시_Modal_split!D$3 * 0.01</f>
        <v>2.0766064555680277</v>
      </c>
      <c r="BS109" s="207">
        <f>INDEX($A$102:$H$115,MATCH($L109,$B$102:$B$115,0),MATCH($BQ$101,$A$102:$H$102,0))*고양시_Modal_split!E$3 * 0.01</f>
        <v>0.25124156351652299</v>
      </c>
      <c r="BT109" s="207">
        <f>INDEX($A$102:$H$115,MATCH($L109,$B$102:$B$115,0),MATCH($BQ$101,$A$102:$H$102,0))*고양시_Modal_split!F$3 * 0.01</f>
        <v>0.40490072714350023</v>
      </c>
      <c r="BU109" s="207">
        <f>INDEX($A$102:$H$115,MATCH($L109,$B$102:$B$115,0),MATCH($BQ$101,$A$102:$H$102,0))*고양시_Modal_split!G$3 * 0.01</f>
        <v>4.0622537510580169E-2</v>
      </c>
      <c r="BV109" s="207">
        <f>INDEX($A$102:$H$115,MATCH($L109,$B$102:$B$115,0),MATCH($BQ$101,$A$102:$H$102,0))*고양시_Modal_split!H$3 * 0.01</f>
        <v>4.415493207671758E-4</v>
      </c>
      <c r="BW109" s="207">
        <f>INDEX($A$102:$H$115,MATCH($L109,$B$102:$B$115,0),MATCH($BQ$101,$A$102:$H$102,0))*고양시_Modal_split!I$3 * 0.01</f>
        <v>0.12275071117327485</v>
      </c>
      <c r="BX109" s="207">
        <f>INDEX($A$102:$H$115,MATCH($L109,$B$102:$B$115,0),MATCH($BQ$101,$A$102:$H$102,0))*고양시_Modal_split!J$3 * 0.01</f>
        <v>1.3440761324152832</v>
      </c>
      <c r="BY109" s="207">
        <f>INDEX($A$102:$H$115,MATCH($L109,$B$102:$B$115,0),MATCH($BQ$101,$A$102:$H$102,0))*고양시_Modal_split!K$3 * 0.01</f>
        <v>6.6232398115076366E-3</v>
      </c>
      <c r="BZ109" s="207">
        <f>INDEX($A$102:$H$115,MATCH($L109,$B$102:$B$115,0),MATCH($BQ$101,$A$102:$H$102,0))*고양시_Modal_split!L$3 * 0.01</f>
        <v>0.13334789487168708</v>
      </c>
      <c r="CA109" s="207">
        <f>INDEX($A$102:$H$115,MATCH($L109,$B$102:$B$115,0),MATCH($BQ$101,$A$102:$H$102,0))*고양시_Modal_split!M$3 * 0.01</f>
        <v>1.0155634377645042E-2</v>
      </c>
      <c r="CB109" s="207">
        <f>INDEX($A$102:$H$115,MATCH($L109,$B$102:$B$115,0),MATCH($BQ$101,$A$102:$H$102,0))*고양시_Modal_split!N$3 * 0.01</f>
        <v>4.4154932076717578E-3</v>
      </c>
      <c r="CC109" s="207">
        <f>INDEX($A$102:$H$115,MATCH($L109,$B$102:$B$115,0),MATCH($BQ$101,$A$102:$H$102,0))*고양시_Modal_split!O$3 * 0.01</f>
        <v>7.9478877738091633E-3</v>
      </c>
      <c r="CD109" s="207">
        <f>INDEX($A$102:$H$115,MATCH($L109,$B$102:$B$115,0),MATCH($BQ$101,$A$102:$H$102,0))*고양시_Modal_split!P$3 * 0.01</f>
        <v>4.4154932076717577</v>
      </c>
      <c r="CE109" s="304">
        <f t="shared" si="51"/>
        <v>42.595120140873377</v>
      </c>
      <c r="CF109" s="304">
        <f t="shared" si="47"/>
        <v>7154.4589293759827</v>
      </c>
      <c r="CG109" s="304">
        <f t="shared" si="47"/>
        <v>865.59369143417655</v>
      </c>
      <c r="CH109" s="304">
        <f t="shared" si="47"/>
        <v>1394.9901846136031</v>
      </c>
      <c r="CI109" s="304">
        <f t="shared" si="47"/>
        <v>139.95539474858396</v>
      </c>
      <c r="CJ109" s="304">
        <f t="shared" si="47"/>
        <v>1.5212542907454776</v>
      </c>
      <c r="CK109" s="304">
        <f t="shared" si="47"/>
        <v>422.90869282724282</v>
      </c>
      <c r="CL109" s="304">
        <f t="shared" si="47"/>
        <v>4630.6980610292349</v>
      </c>
      <c r="CM109" s="304">
        <f t="shared" si="47"/>
        <v>22.818814361182163</v>
      </c>
      <c r="CN109" s="304">
        <f t="shared" si="47"/>
        <v>459.41879580513421</v>
      </c>
      <c r="CO109" s="304">
        <f t="shared" si="47"/>
        <v>34.988848687145989</v>
      </c>
      <c r="CP109" s="304">
        <f t="shared" si="47"/>
        <v>15.212542907454779</v>
      </c>
      <c r="CQ109" s="304">
        <f t="shared" si="47"/>
        <v>27.382577233418594</v>
      </c>
      <c r="CR109" s="304">
        <f t="shared" si="47"/>
        <v>15212.542907454777</v>
      </c>
      <c r="CS109" s="305">
        <f t="shared" si="52"/>
        <v>0</v>
      </c>
      <c r="CV109" s="267"/>
      <c r="CW109" s="267" t="s">
        <v>301</v>
      </c>
      <c r="CX109" s="267">
        <f>INDEX($M$101:$Z$115,MATCH($CW109,$L$101:$L$115,0),MATCH(CX$102,$M$102:$Z$102,0))/INDEX(고양시_재차인원!$D$4:$H$35,MATCH("고양시",고양시_재차인원!$B$4:$B$35,0),MATCH($CX$101,고양시_재차인원!$D$4:$H$4,0))</f>
        <v>700.09122049848509</v>
      </c>
      <c r="CY109" s="267">
        <f>INDEX($M$101:$Z$115,MATCH($CW109,$L$101:$L$115,0),MATCH(CY$102,$M$102:$Z$102,0))/INDEX(고양시_재차인원!$K$4:$O$20,MATCH("경기도",고양시_재차인원!$K$4:$K$20,0),MATCH(CY$102,고양시_재차인원!$K$4:$O$4,0))</f>
        <v>5.791032609371102E-3</v>
      </c>
      <c r="CZ109" s="267">
        <f>INDEX($M$101:$Z$115,MATCH($CW109,$L$101:$L$115,0),MATCH(CZ$102,$M$102:$Z$102,0))/INDEX(고양시_재차인원!$K$4:$O$20,MATCH("경기도",고양시_재차인원!$K$4:$K$20,0),MATCH(CZ$102,고양시_재차인원!$K$4:$O$4,0))</f>
        <v>1.6099070654051664</v>
      </c>
      <c r="DA109" s="267">
        <f>INDEX($M$101:$Z$115,MATCH($CW109,$L$101:$L$115,0),MATCH(DA$102,$M$102:$Z$102,0))/INDEX(고양시_재차인원!$D$4:$H$35,MATCH("고양시",고양시_재차인원!$B$4:$B$35,0),MATCH($CX$101,고양시_재차인원!$D$4:$H$4,0))</f>
        <v>44.955889557844458</v>
      </c>
      <c r="DB109" s="267">
        <f>INDEX($AA$101:$AN$115,MATCH($CW109,$L$101:$L$115,0),MATCH(DB$102,$AA$102:$AN$102,0))/INDEX(고양시_재차인원!$D$4:$H$35,MATCH("고양시",고양시_재차인원!$B$4:$B$35,0),MATCH($DB$101,고양시_재차인원!$D$4:$H$4,0))</f>
        <v>4324.3141939790667</v>
      </c>
      <c r="DC109" s="267">
        <f>INDEX($AA$101:$AN$115,MATCH($CW109,$L$101:$L$115,0),MATCH(DC$102,$AA$102:$AN$102,0))/INDEX(고양시_재차인원!$K$4:$O$20,MATCH("경기도",고양시_재차인원!$K$4:$K$20,0),MATCH(DC$102,고양시_재차인원!$K$4:$O$4,0))</f>
        <v>4.5031841828440437E-2</v>
      </c>
      <c r="DD109" s="267">
        <f>INDEX($AA$101:$AN$115,MATCH($CW109,$L$101:$L$115,0),MATCH(DD$102,$AA$102:$AN$102,0))/INDEX(고양시_재차인원!$K$4:$O$20,MATCH("경기도",고양시_재차인원!$K$4:$K$20,0),MATCH(DD$102,고양시_재차인원!$K$4:$O$4,0))</f>
        <v>12.518852028306441</v>
      </c>
      <c r="DE109" s="267">
        <f>INDEX($AA$101:$AN$115,MATCH($CW109,$L$101:$L$115,0),MATCH(DE$102,$AA$102:$AN$102,0))/INDEX(고양시_재차인원!$D$4:$H$35,MATCH("고양시",고양시_재차인원!$B$4:$B$35,0),MATCH($DB$101,고양시_재차인원!$D$4:$H$4,0))</f>
        <v>277.68294420193024</v>
      </c>
      <c r="DF109" s="267">
        <f>INDEX($AO$101:$BB$115,MATCH($CW109,$L$101:$L$115,0),MATCH(DF$102,$AO$102:$BB$102,0))/INDEX(고양시_재차인원!$D$4:$H$35,MATCH("고양시",고양시_재차인원!$B$4:$B$35,0),MATCH($DF$101,고양시_재차인원!$D$4:$H$4,0))</f>
        <v>207.89555578933323</v>
      </c>
      <c r="DG109" s="267">
        <f>INDEX($AO$101:$BB$115,MATCH($CW109,$L$101:$L$115,0),MATCH(DG$102,$AO$102:$BB$102,0))/INDEX(고양시_재차인원!$K$4:$O$20,MATCH("경기도",고양시_재차인원!$K$4:$K$20,0),MATCH(DG$102,고양시_재차인원!$K$4:$O$4,0))</f>
        <v>1.9960522898011504E-3</v>
      </c>
      <c r="DH109" s="267">
        <f>INDEX($AO$101:$BB$115,MATCH($CW109,$L$101:$L$115,0),MATCH(DH$102,$AO$102:$BB$102,0))/INDEX(고양시_재차인원!$K$4:$O$20,MATCH("경기도",고양시_재차인원!$K$4:$K$20,0),MATCH(DH$102,고양시_재차인원!$K$4:$O$4,0))</f>
        <v>0.55490253656471977</v>
      </c>
      <c r="DI109" s="267">
        <f>INDEX($AO$101:$BB$115,MATCH($CW109,$L$101:$L$115,0),MATCH(DI$102,$AO$102:$BB$102,0))/INDEX(고양시_재차인원!$D$4:$H$35,MATCH("고양시",고양시_재차인원!$B$4:$B$35,0),MATCH($DF$101,고양시_재차인원!$D$4:$H$4,0))</f>
        <v>13.349874090660988</v>
      </c>
      <c r="DJ109" s="267">
        <f>INDEX($BC$101:$BP$115,MATCH($CW109,$L$101:$L$115,0),MATCH(DJ$102,$BC$102:$BP$102,0))/INDEX(고양시_재차인원!$D$4:$H$35,MATCH("고양시",고양시_재차인원!$B$4:$B$35,0),MATCH($DJ$101,고양시_재차인원!$D$4:$H$4,0))</f>
        <v>0.53891170992249693</v>
      </c>
      <c r="DK109" s="267">
        <f>INDEX($BC$101:$BP$115,MATCH($CW109,$L$101:$L$115,0),MATCH(DK$102,$BC$102:$BP$102,0))/INDEX(고양시_재차인원!$K$4:$O$20,MATCH("경기도",고양시_재차인원!$K$4:$K$20,0),MATCH(DK$102,고양시_재차인원!$K$4:$O$4,0))</f>
        <v>5.4130231587827618E-6</v>
      </c>
      <c r="DL109" s="267">
        <f>INDEX($BC$101:$BP$115,MATCH($CW109,$L$101:$L$115,0),MATCH(DL$102,$BC$102:$BP$102,0))/INDEX(고양시_재차인원!$K$4:$O$20,MATCH("경기도",고양시_재차인원!$K$4:$K$20,0),MATCH(DL$102,고양시_재차인원!$K$4:$O$4,0))</f>
        <v>1.5048204381416079E-3</v>
      </c>
      <c r="DM109" s="267">
        <f>INDEX($BC$101:$BP$115,MATCH($CW109,$L$101:$L$115,0),MATCH(DM$102,$BC$102:$BP$102,0))/INDEX(고양시_재차인원!$D$4:$H$35,MATCH("고양시",고양시_재차인원!$B$4:$B$35,0),MATCH($DJ$101,고양시_재차인원!$D$4:$H$4,0))</f>
        <v>3.4605855070506925E-2</v>
      </c>
      <c r="DN109" s="267">
        <f>INDEX($BQ$101:$CD$115,MATCH($CW109,$L$101:$L$115,0),MATCH(DN$102,$BQ$102:$CD$102,0))/INDEX(고양시_재차인원!$D$4:$H$35,MATCH("고양시",고양시_재차인원!$B$4:$B$35,0),MATCH($DN$101,고양시_재차인원!$D$4:$H$4,0))</f>
        <v>1.6481003615619267</v>
      </c>
      <c r="DO109" s="267">
        <f>INDEX($BQ$101:$CD$115,MATCH($CW109,$L$101:$L$115,0),MATCH(DO$102,$BQ$102:$CD$102,0))/INDEX(고양시_재차인원!$K$4:$O$20,MATCH("경기도",고양시_재차인원!$K$4:$K$20,0),MATCH(DO$102,고양시_재차인원!$K$4:$O$4,0))</f>
        <v>1.5336898949884536E-5</v>
      </c>
      <c r="DP109" s="267">
        <f>INDEX($BQ$101:$CD$115,MATCH($CW109,$L$101:$L$115,0),MATCH(DP$102,$BQ$102:$CD$102,0))/INDEX(고양시_재차인원!$K$4:$O$20,MATCH("경기도",고양시_재차인원!$K$4:$K$20,0),MATCH(DP$102,고양시_재차인원!$K$4:$O$4,0))</f>
        <v>4.2636579080679001E-3</v>
      </c>
      <c r="DQ109" s="267">
        <f>INDEX($BQ$101:$CD$115,MATCH($CW109,$L$101:$L$115,0),MATCH(DQ$102,$BQ$102:$CD$102,0))/INDEX(고양시_재차인원!$D$4:$H$35,MATCH("고양시",고양시_재차인원!$B$4:$B$35,0),MATCH($DN$101,고양시_재차인원!$D$4:$H$4,0))</f>
        <v>0.10583166259657704</v>
      </c>
      <c r="DR109" s="270">
        <f t="shared" si="53"/>
        <v>5234.487982338369</v>
      </c>
      <c r="DS109" s="270">
        <f t="shared" si="48"/>
        <v>5.2839676649721362E-2</v>
      </c>
      <c r="DT109" s="270">
        <f t="shared" si="48"/>
        <v>14.689430108622537</v>
      </c>
      <c r="DU109" s="270">
        <f t="shared" si="48"/>
        <v>336.12914536810274</v>
      </c>
      <c r="DW109" s="278"/>
      <c r="DX109" s="278" t="s">
        <v>301</v>
      </c>
      <c r="DY109" s="281">
        <f t="shared" si="54"/>
        <v>5570.6171277064714</v>
      </c>
      <c r="DZ109" s="281">
        <f t="shared" si="55"/>
        <v>14.742269785272258</v>
      </c>
      <c r="EB109" s="278"/>
      <c r="EC109" s="278" t="s">
        <v>301</v>
      </c>
      <c r="ED109" s="281">
        <f t="shared" si="56"/>
        <v>5570.6171277064714</v>
      </c>
      <c r="EE109" s="281">
        <f t="shared" si="49"/>
        <v>14.742269785272258</v>
      </c>
      <c r="EL109" s="306" t="s">
        <v>12</v>
      </c>
      <c r="EM109" s="306" t="s">
        <v>363</v>
      </c>
      <c r="EN109" s="306">
        <v>10963.124400000001</v>
      </c>
      <c r="EO109" s="306">
        <v>0.16368976107840044</v>
      </c>
      <c r="EP109" s="307">
        <v>849107</v>
      </c>
      <c r="EQ109" s="308">
        <f t="shared" si="57"/>
        <v>33.771159497456473</v>
      </c>
      <c r="ER109" s="308">
        <f t="shared" si="58"/>
        <v>8.9373139969851551E-2</v>
      </c>
      <c r="ET109" s="420" t="s">
        <v>12</v>
      </c>
      <c r="EU109" s="420" t="s">
        <v>363</v>
      </c>
      <c r="EV109" s="420">
        <v>10963.124400000001</v>
      </c>
      <c r="EW109" s="420">
        <v>0.16368976107840044</v>
      </c>
      <c r="EX109" s="421">
        <v>849107</v>
      </c>
      <c r="EY109" s="422">
        <f t="shared" si="59"/>
        <v>32.808681451778966</v>
      </c>
      <c r="EZ109" s="422">
        <f t="shared" si="60"/>
        <v>8.6826005480710788E-2</v>
      </c>
      <c r="FA109">
        <v>0</v>
      </c>
      <c r="FD109" s="306" t="s">
        <v>12</v>
      </c>
      <c r="FE109" s="306" t="s">
        <v>363</v>
      </c>
      <c r="FF109" s="306">
        <v>10963.124400000001</v>
      </c>
      <c r="FG109" s="306">
        <v>0.16368976107840044</v>
      </c>
      <c r="FH109" s="307">
        <v>849107</v>
      </c>
      <c r="FI109" s="308">
        <f t="shared" si="61"/>
        <v>32.808681451778966</v>
      </c>
      <c r="FJ109" s="308">
        <f t="shared" si="50"/>
        <v>8.6826005480710788E-2</v>
      </c>
      <c r="FL109" s="101"/>
      <c r="FM109" s="101"/>
      <c r="FN109" s="101"/>
      <c r="FO109" s="101"/>
      <c r="FP109" s="374"/>
      <c r="FQ109" s="404"/>
      <c r="FR109" s="404"/>
    </row>
    <row r="110" spans="1:174">
      <c r="A110" s="205"/>
      <c r="B110" s="205" t="s">
        <v>302</v>
      </c>
      <c r="C110" s="400">
        <f>$AB68*KTDB_TripDistribution_2035!L$12 * (1+KTDB_발생량도착량_증가율!$C$8*2) * (1+KTDB_발생량도착량_증가율!$D$7*5) * (1+KTDB_발생량도착량_증가율!$E$7*5)</f>
        <v>19.868072572894192</v>
      </c>
      <c r="D110" s="400">
        <f>$AB68*KTDB_TripDistribution_2035!M$12 * (1+KTDB_발생량도착량_증가율!$C$8*2) * (1+KTDB_발생량도착량_증가율!$D$7*5) * (1+KTDB_발생량도착량_증가율!$E$7*5)</f>
        <v>154.4967818158616</v>
      </c>
      <c r="E110" s="400">
        <f>$AB68*KTDB_TripDistribution_2035!N$12 * (1+KTDB_발생량도착량_증가율!$C$8*2) * (1+KTDB_발생량도착량_증가율!$D$7*5) * (1+KTDB_발생량도착량_증가율!$E$7*5)</f>
        <v>6.8481244068435076</v>
      </c>
      <c r="F110" s="400">
        <f>$AB68*KTDB_TripDistribution_2035!O$12 * (1+KTDB_발생량도착량_증가율!$C$8*2) * (1+KTDB_발생량도착량_증가율!$D$7*5) * (1+KTDB_발생량도착량_증가율!$E$7*5)</f>
        <v>1.8571184832117917E-2</v>
      </c>
      <c r="G110" s="400">
        <f>$AB68*KTDB_TripDistribution_2035!P$12 * (1+KTDB_발생량도착량_증가율!$C$8*2) * (1+KTDB_발생량도착량_증가율!$D$7*5) * (1+KTDB_발생량도착량_증가율!$E$7*5)</f>
        <v>5.2618357024334261E-2</v>
      </c>
      <c r="H110" s="400">
        <f>$AB68*KTDB_TripDistribution_2035!Q$12 * (1+KTDB_발생량도착량_증가율!$C$8*2) * (1+KTDB_발생량도착량_증가율!$D$7*5) * (1+KTDB_발생량도착량_증가율!$E$7*5)</f>
        <v>181.28416833745572</v>
      </c>
      <c r="I110" s="56"/>
      <c r="J110" s="56"/>
      <c r="K110" s="206"/>
      <c r="L110" s="206" t="s">
        <v>302</v>
      </c>
      <c r="M110" s="206">
        <f>INDEX($A$102:$H$115,MATCH($L110,$B$102:$B$115,0),MATCH($M$101,$A$102:$H$102,0))*고양시_Modal_split!C$3 * 0.01</f>
        <v>5.5630603204103735E-2</v>
      </c>
      <c r="N110" s="206">
        <f>INDEX($A$102:$H$115,MATCH($L110,$B$102:$B$115,0),MATCH($M$101,$A$102:$H$102,0))*고양시_Modal_split!D$3 * 0.01</f>
        <v>9.3439545310321392</v>
      </c>
      <c r="O110" s="206">
        <f>INDEX($A$102:$H$115,MATCH($L110,$B$102:$B$115,0),MATCH($M$101,$A$102:$H$102,0))*고양시_Modal_split!E$3 * 0.01</f>
        <v>1.1304933293976795</v>
      </c>
      <c r="P110" s="206">
        <f>INDEX($A$102:$H$115,MATCH($L110,$B$102:$B$115,0),MATCH($M$101,$A$102:$H$102,0))*고양시_Modal_split!F$3 * 0.01</f>
        <v>1.8219022549343975</v>
      </c>
      <c r="Q110" s="206">
        <f>INDEX($A$102:$H$115,MATCH($L110,$B$102:$B$115,0),MATCH($M$101,$A$102:$H$102,0))*고양시_Modal_split!G$3 * 0.01</f>
        <v>0.18278626767062656</v>
      </c>
      <c r="R110" s="206">
        <f>INDEX($A$102:$H$115,MATCH($L110,$B$102:$B$115,0),MATCH($M$101,$A$102:$H$102,0))*고양시_Modal_split!H$3 * 0.01</f>
        <v>1.9868072572894195E-3</v>
      </c>
      <c r="S110" s="206">
        <f>INDEX($A$102:$H$115,MATCH($L110,$B$102:$B$115,0),MATCH($M$101,$A$102:$H$102,0))*고양시_Modal_split!I$3 * 0.01</f>
        <v>0.55233241752645856</v>
      </c>
      <c r="T110" s="206">
        <f>INDEX($A$102:$H$115,MATCH($L110,$B$102:$B$115,0),MATCH($M$101,$A$102:$H$102,0))*고양시_Modal_split!J$3 * 0.01</f>
        <v>6.0478412911889929</v>
      </c>
      <c r="U110" s="206">
        <f>INDEX($A$102:$H$115,MATCH($L110,$B$102:$B$115,0),MATCH($M$101,$A$102:$H$102,0))*고양시_Modal_split!K$3 * 0.01</f>
        <v>2.9802108859341286E-2</v>
      </c>
      <c r="V110" s="206">
        <f>INDEX($A$102:$H$115,MATCH($L110,$B$102:$B$115,0),MATCH($M$101,$A$102:$H$102,0))*고양시_Modal_split!L$3 * 0.01</f>
        <v>0.60001579170140462</v>
      </c>
      <c r="W110" s="206">
        <f>INDEX($A$102:$H$115,MATCH($L110,$B$102:$B$115,0),MATCH($M$101,$A$102:$H$102,0))*고양시_Modal_split!M$3 * 0.01</f>
        <v>4.5696566917656639E-2</v>
      </c>
      <c r="X110" s="206">
        <f>INDEX($A$102:$H$115,MATCH($L110,$B$102:$B$115,0),MATCH($M$101,$A$102:$H$102,0))*고양시_Modal_split!N$3 * 0.01</f>
        <v>1.9868072572894194E-2</v>
      </c>
      <c r="Y110" s="206">
        <f>INDEX($A$102:$H$115,MATCH($L110,$B$102:$B$115,0),MATCH($M$101,$A$102:$H$102,0))*고양시_Modal_split!O$3 * 0.01</f>
        <v>3.5762530631209544E-2</v>
      </c>
      <c r="Z110" s="209">
        <f>INDEX($A$102:$H$115,MATCH($L110,$B$102:$B$115,0),MATCH($M$101,$A$102:$H$102,0))*고양시_Modal_split!P$3 * 0.01</f>
        <v>19.868072572894192</v>
      </c>
      <c r="AA110" s="207">
        <f>INDEX($A$102:$H$115,MATCH($L110,$B$102:$B$115,0),MATCH($AA$101,$A$102:$H$102,0))*고양시_Modal_split!C$3 * 0.01</f>
        <v>0.43259098908441246</v>
      </c>
      <c r="AB110" s="207">
        <f>INDEX($A$102:$H$115,MATCH($L110,$B$102:$B$115,0),MATCH($AA$101,$A$102:$H$102,0))*고양시_Modal_split!D$3 * 0.01</f>
        <v>72.659836487999712</v>
      </c>
      <c r="AC110" s="207">
        <f>INDEX($A$102:$H$115,MATCH($L110,$B$102:$B$115,0),MATCH($AA$101,$A$102:$H$102,0))*고양시_Modal_split!E$3 * 0.01</f>
        <v>8.790866885322524</v>
      </c>
      <c r="AD110" s="207">
        <f>INDEX($A$102:$H$115,MATCH($L110,$B$102:$B$115,0),MATCH($AA$101,$A$102:$H$102,0))*고양시_Modal_split!F$3 * 0.01</f>
        <v>14.16735489251451</v>
      </c>
      <c r="AE110" s="207">
        <f>INDEX($A$102:$H$115,MATCH($L110,$B$102:$B$115,0),MATCH($AA$101,$A$102:$H$102,0))*고양시_Modal_split!G$3 * 0.01</f>
        <v>1.4213703927059265</v>
      </c>
      <c r="AF110" s="207">
        <f>INDEX($A$102:$H$115,MATCH($L110,$B$102:$B$115,0),MATCH($AA$101,$A$102:$H$102,0))*고양시_Modal_split!H$3 * 0.01</f>
        <v>1.5449678181586159E-2</v>
      </c>
      <c r="AG110" s="207">
        <f>INDEX($A$102:$H$115,MATCH($L110,$B$102:$B$115,0),MATCH($AA$101,$A$102:$H$102,0))*고양시_Modal_split!I$3 * 0.01</f>
        <v>4.2950105344809524</v>
      </c>
      <c r="AH110" s="207">
        <f>INDEX($A$102:$H$115,MATCH($L110,$B$102:$B$115,0),MATCH($AA$101,$A$102:$H$102,0))*고양시_Modal_split!J$3 * 0.01</f>
        <v>47.028820384748272</v>
      </c>
      <c r="AI110" s="207">
        <f>INDEX($A$102:$H$115,MATCH($L110,$B$102:$B$115,0),MATCH($AA$101,$A$102:$H$102,0))*고양시_Modal_split!K$3 * 0.01</f>
        <v>0.23174517272379239</v>
      </c>
      <c r="AJ110" s="207">
        <f>INDEX($A$102:$H$115,MATCH($L110,$B$102:$B$115,0),MATCH($AA$101,$A$102:$H$102,0))*고양시_Modal_split!L$3 * 0.01</f>
        <v>4.6658028108390202</v>
      </c>
      <c r="AK110" s="207">
        <f>INDEX($A$102:$H$115,MATCH($L110,$B$102:$B$115,0),MATCH($AA$101,$A$102:$H$102,0))*고양시_Modal_split!M$3 * 0.01</f>
        <v>0.35534259817648162</v>
      </c>
      <c r="AL110" s="207">
        <f>INDEX($A$102:$H$115,MATCH($L110,$B$102:$B$115,0),MATCH($AA$101,$A$102:$H$102,0))*고양시_Modal_split!N$3 * 0.01</f>
        <v>0.1544967818158616</v>
      </c>
      <c r="AM110" s="207">
        <f>INDEX($A$102:$H$115,MATCH($L110,$B$102:$B$115,0),MATCH($AA$101,$A$102:$H$102,0))*고양시_Modal_split!O$3 * 0.01</f>
        <v>0.27809420726855089</v>
      </c>
      <c r="AN110" s="207">
        <f>INDEX($A$102:$H$115,MATCH($L110,$B$102:$B$115,0),MATCH($AA$101,$A$102:$H$102,0))*고양시_Modal_split!P$3 * 0.01</f>
        <v>154.4967818158616</v>
      </c>
      <c r="AO110" s="303">
        <f>INDEX($A$102:$H$115,MATCH($L110,$B$102:$B$115,0),MATCH($AO$101,$A$102:$H$102,0))*고양시_Modal_split!C$3 * 0.01</f>
        <v>1.9174748339161822E-2</v>
      </c>
      <c r="AP110" s="303">
        <f>INDEX($A$102:$H$115,MATCH($L110,$B$102:$B$115,0),MATCH($AO$101,$A$102:$H$102,0))*고양시_Modal_split!D$3 * 0.01</f>
        <v>3.2206729085385017</v>
      </c>
      <c r="AQ110" s="303">
        <f>INDEX($A$102:$H$115,MATCH($L110,$B$102:$B$115,0),MATCH($AO$101,$A$102:$H$102,0))*고양시_Modal_split!E$3 * 0.01</f>
        <v>0.38965827874939557</v>
      </c>
      <c r="AR110" s="303">
        <f>INDEX($A$102:$H$115,MATCH($L110,$B$102:$B$115,0),MATCH($AO$101,$A$102:$H$102,0))*고양시_Modal_split!F$3 * 0.01</f>
        <v>0.62797300810754964</v>
      </c>
      <c r="AS110" s="303">
        <f>INDEX($A$102:$H$115,MATCH($L110,$B$102:$B$115,0),MATCH($AO$101,$A$102:$H$102,0))*고양시_Modal_split!G$3 * 0.01</f>
        <v>6.3002744542960259E-2</v>
      </c>
      <c r="AT110" s="303">
        <f>INDEX($A$102:$H$115,MATCH($L110,$B$102:$B$115,0),MATCH($AO$101,$A$102:$H$102,0))*고양시_Modal_split!H$3 * 0.01</f>
        <v>6.848124406843508E-4</v>
      </c>
      <c r="AU110" s="303">
        <f>INDEX($A$102:$H$115,MATCH($L110,$B$102:$B$115,0),MATCH($AO$101,$A$102:$H$102,0))*고양시_Modal_split!I$3 * 0.01</f>
        <v>0.19037785851024949</v>
      </c>
      <c r="AV110" s="303">
        <f>INDEX($A$102:$H$115,MATCH($L110,$B$102:$B$115,0),MATCH($AO$101,$A$102:$H$102,0))*고양시_Modal_split!J$3 * 0.01</f>
        <v>2.0845690694431638</v>
      </c>
      <c r="AW110" s="303">
        <f>INDEX($A$102:$H$115,MATCH($L110,$B$102:$B$115,0),MATCH($AO$101,$A$102:$H$102,0))*고양시_Modal_split!K$3 * 0.01</f>
        <v>1.0272186610265261E-2</v>
      </c>
      <c r="AX110" s="303">
        <f>INDEX($A$102:$H$115,MATCH($L110,$B$102:$B$115,0),MATCH($AO$101,$A$102:$H$102,0))*고양시_Modal_split!L$3 * 0.01</f>
        <v>0.20681335708667395</v>
      </c>
      <c r="AY110" s="303">
        <f>INDEX($A$102:$H$115,MATCH($L110,$B$102:$B$115,0),MATCH($AO$101,$A$102:$H$102,0))*고양시_Modal_split!M$3 * 0.01</f>
        <v>1.5750686135740065E-2</v>
      </c>
      <c r="AZ110" s="303">
        <f>INDEX($A$102:$H$115,MATCH($L110,$B$102:$B$115,0),MATCH($AO$101,$A$102:$H$102,0))*고양시_Modal_split!N$3 * 0.01</f>
        <v>6.8481244068435074E-3</v>
      </c>
      <c r="BA110" s="207">
        <f>INDEX($A$102:$H$115,MATCH($L110,$B$102:$B$115,0),MATCH($AO$101,$A$102:$H$102,0))*고양시_Modal_split!O$3 * 0.01</f>
        <v>1.2326623932318313E-2</v>
      </c>
      <c r="BB110" s="207">
        <f>INDEX($A$102:$H$115,MATCH($L110,$B$102:$B$115,0),MATCH($AO$101,$A$102:$H$102,0))*고양시_Modal_split!P$3 * 0.01</f>
        <v>6.8481244068435085</v>
      </c>
      <c r="BC110" s="207">
        <f>INDEX($A$102:$H$115,MATCH($L110,$B$102:$B$115,0),MATCH($BC$101,$A$102:$H$102,0))*고양시_Modal_split!C$3 * 0.01</f>
        <v>5.1999317529930167E-5</v>
      </c>
      <c r="BD110" s="207">
        <f>INDEX($A$102:$H$115,MATCH($L110,$B$102:$B$115,0),MATCH($BC$101,$A$102:$H$102,0))*고양시_Modal_split!D$3 * 0.01</f>
        <v>8.7340282265450566E-3</v>
      </c>
      <c r="BE110" s="207">
        <f>INDEX($A$102:$H$115,MATCH($L110,$B$102:$B$115,0),MATCH($BC$101,$A$102:$H$102,0))*고양시_Modal_split!E$3 * 0.01</f>
        <v>1.0567004169475095E-3</v>
      </c>
      <c r="BF110" s="207">
        <f>INDEX($A$102:$H$115,MATCH($L110,$B$102:$B$115,0),MATCH($BC$101,$A$102:$H$102,0))*고양시_Modal_split!F$3 * 0.01</f>
        <v>1.702977649105213E-3</v>
      </c>
      <c r="BG110" s="207">
        <f>INDEX($A$102:$H$115,MATCH($L110,$B$102:$B$115,0),MATCH($BC$101,$A$102:$H$102,0))*고양시_Modal_split!G$3 * 0.01</f>
        <v>1.7085490045548485E-4</v>
      </c>
      <c r="BH110" s="207">
        <f>INDEX($A$102:$H$115,MATCH($L110,$B$102:$B$115,0),MATCH($BC$101,$A$102:$H$102,0))*고양시_Modal_split!H$3 * 0.01</f>
        <v>1.8571184832117917E-6</v>
      </c>
      <c r="BI110" s="207">
        <f>INDEX($A$102:$H$115,MATCH($L110,$B$102:$B$115,0),MATCH($BC$101,$A$102:$H$102,0))*고양시_Modal_split!I$3 * 0.01</f>
        <v>5.1627893833287809E-4</v>
      </c>
      <c r="BJ110" s="207">
        <f>INDEX($A$102:$H$115,MATCH($L110,$B$102:$B$115,0),MATCH($BC$101,$A$102:$H$102,0))*고양시_Modal_split!J$3 * 0.01</f>
        <v>5.6530686628966939E-3</v>
      </c>
      <c r="BK110" s="207">
        <f>INDEX($A$102:$H$115,MATCH($L110,$B$102:$B$115,0),MATCH($BC$101,$A$102:$H$102,0))*고양시_Modal_split!K$3 * 0.01</f>
        <v>2.7856777248176877E-5</v>
      </c>
      <c r="BL110" s="207">
        <f>INDEX($A$102:$H$115,MATCH($L110,$B$102:$B$115,0),MATCH($BC$101,$A$102:$H$102,0))*고양시_Modal_split!L$3 * 0.01</f>
        <v>5.6084978192996119E-4</v>
      </c>
      <c r="BM110" s="207">
        <f>INDEX($A$102:$H$115,MATCH($L110,$B$102:$B$115,0),MATCH($BC$101,$A$102:$H$102,0))*고양시_Modal_split!M$3 * 0.01</f>
        <v>4.2713725113871212E-5</v>
      </c>
      <c r="BN110" s="207">
        <f>INDEX($A$102:$H$115,MATCH($L110,$B$102:$B$115,0),MATCH($BC$101,$A$102:$H$102,0))*고양시_Modal_split!N$3 * 0.01</f>
        <v>1.8571184832117919E-5</v>
      </c>
      <c r="BO110" s="207">
        <f>INDEX($A$102:$H$115,MATCH($L110,$B$102:$B$115,0),MATCH($BC$101,$A$102:$H$102,0))*고양시_Modal_split!O$3 * 0.01</f>
        <v>3.3428132697812251E-5</v>
      </c>
      <c r="BP110" s="207">
        <f>INDEX($A$102:$H$115,MATCH($L110,$B$102:$B$115,0),MATCH($BC$101,$A$102:$H$102,0))*고양시_Modal_split!P$3 * 0.01</f>
        <v>1.8571184832117917E-2</v>
      </c>
      <c r="BQ110" s="207">
        <f>INDEX($A$102:$H$115,MATCH($L110,$B$102:$B$115,0),MATCH($BQ$101,$A$102:$H$102,0))*고양시_Modal_split!C$3 * 0.01</f>
        <v>1.4733139966813591E-4</v>
      </c>
      <c r="BR110" s="207">
        <f>INDEX($A$102:$H$115,MATCH($L110,$B$102:$B$115,0),MATCH($BQ$101,$A$102:$H$102,0))*고양시_Modal_split!D$3 * 0.01</f>
        <v>2.4746413308544404E-2</v>
      </c>
      <c r="BS110" s="207">
        <f>INDEX($A$102:$H$115,MATCH($L110,$B$102:$B$115,0),MATCH($BQ$101,$A$102:$H$102,0))*고양시_Modal_split!E$3 * 0.01</f>
        <v>2.9939845146846195E-3</v>
      </c>
      <c r="BT110" s="207">
        <f>INDEX($A$102:$H$115,MATCH($L110,$B$102:$B$115,0),MATCH($BQ$101,$A$102:$H$102,0))*고양시_Modal_split!F$3 * 0.01</f>
        <v>4.8251033391314519E-3</v>
      </c>
      <c r="BU110" s="207">
        <f>INDEX($A$102:$H$115,MATCH($L110,$B$102:$B$115,0),MATCH($BQ$101,$A$102:$H$102,0))*고양시_Modal_split!G$3 * 0.01</f>
        <v>4.8408888462387516E-4</v>
      </c>
      <c r="BV110" s="207">
        <f>INDEX($A$102:$H$115,MATCH($L110,$B$102:$B$115,0),MATCH($BQ$101,$A$102:$H$102,0))*고양시_Modal_split!H$3 * 0.01</f>
        <v>5.2618357024334262E-6</v>
      </c>
      <c r="BW110" s="207">
        <f>INDEX($A$102:$H$115,MATCH($L110,$B$102:$B$115,0),MATCH($BQ$101,$A$102:$H$102,0))*고양시_Modal_split!I$3 * 0.01</f>
        <v>1.4627903252764924E-3</v>
      </c>
      <c r="BX110" s="207">
        <f>INDEX($A$102:$H$115,MATCH($L110,$B$102:$B$115,0),MATCH($BQ$101,$A$102:$H$102,0))*고양시_Modal_split!J$3 * 0.01</f>
        <v>1.601702787820735E-2</v>
      </c>
      <c r="BY110" s="207">
        <f>INDEX($A$102:$H$115,MATCH($L110,$B$102:$B$115,0),MATCH($BQ$101,$A$102:$H$102,0))*고양시_Modal_split!K$3 * 0.01</f>
        <v>7.8927535536501387E-5</v>
      </c>
      <c r="BZ110" s="207">
        <f>INDEX($A$102:$H$115,MATCH($L110,$B$102:$B$115,0),MATCH($BQ$101,$A$102:$H$102,0))*고양시_Modal_split!L$3 * 0.01</f>
        <v>1.5890743821348947E-3</v>
      </c>
      <c r="CA110" s="207">
        <f>INDEX($A$102:$H$115,MATCH($L110,$B$102:$B$115,0),MATCH($BQ$101,$A$102:$H$102,0))*고양시_Modal_split!M$3 * 0.01</f>
        <v>1.2102222115596879E-4</v>
      </c>
      <c r="CB110" s="207">
        <f>INDEX($A$102:$H$115,MATCH($L110,$B$102:$B$115,0),MATCH($BQ$101,$A$102:$H$102,0))*고양시_Modal_split!N$3 * 0.01</f>
        <v>5.2618357024334267E-5</v>
      </c>
      <c r="CC110" s="207">
        <f>INDEX($A$102:$H$115,MATCH($L110,$B$102:$B$115,0),MATCH($BQ$101,$A$102:$H$102,0))*고양시_Modal_split!O$3 * 0.01</f>
        <v>9.471304264380167E-5</v>
      </c>
      <c r="CD110" s="207">
        <f>INDEX($A$102:$H$115,MATCH($L110,$B$102:$B$115,0),MATCH($BQ$101,$A$102:$H$102,0))*고양시_Modal_split!P$3 * 0.01</f>
        <v>5.2618357024334268E-2</v>
      </c>
      <c r="CE110" s="304">
        <f t="shared" si="51"/>
        <v>0.50759567134487615</v>
      </c>
      <c r="CF110" s="304">
        <f t="shared" si="47"/>
        <v>85.257944369105445</v>
      </c>
      <c r="CG110" s="304">
        <f t="shared" si="47"/>
        <v>10.315069178401233</v>
      </c>
      <c r="CH110" s="304">
        <f t="shared" si="47"/>
        <v>16.623758236544695</v>
      </c>
      <c r="CI110" s="304">
        <f t="shared" si="47"/>
        <v>1.6678143487045927</v>
      </c>
      <c r="CJ110" s="304">
        <f t="shared" si="47"/>
        <v>1.8128416833745574E-2</v>
      </c>
      <c r="CK110" s="304">
        <f t="shared" si="47"/>
        <v>5.0396998797812698</v>
      </c>
      <c r="CL110" s="304">
        <f t="shared" si="47"/>
        <v>55.18290084192153</v>
      </c>
      <c r="CM110" s="304">
        <f t="shared" si="47"/>
        <v>0.27192625250618363</v>
      </c>
      <c r="CN110" s="304">
        <f t="shared" si="47"/>
        <v>5.4747818837911648</v>
      </c>
      <c r="CO110" s="304">
        <f t="shared" si="47"/>
        <v>0.41695358717614817</v>
      </c>
      <c r="CP110" s="304">
        <f t="shared" si="47"/>
        <v>0.18128416833745575</v>
      </c>
      <c r="CQ110" s="304">
        <f t="shared" si="47"/>
        <v>0.32631150300742034</v>
      </c>
      <c r="CR110" s="304">
        <f t="shared" si="47"/>
        <v>181.28416833745575</v>
      </c>
      <c r="CS110" s="305">
        <f t="shared" si="52"/>
        <v>0</v>
      </c>
      <c r="CV110" s="267"/>
      <c r="CW110" s="267" t="s">
        <v>302</v>
      </c>
      <c r="CX110" s="267">
        <f>INDEX($M$101:$Z$115,MATCH($CW110,$L$101:$L$115,0),MATCH(CX$102,$M$102:$Z$102,0))/INDEX(고양시_재차인원!$D$4:$H$35,MATCH("고양시",고양시_재차인원!$B$4:$B$35,0),MATCH($CX$101,고양시_재차인원!$D$4:$H$4,0))</f>
        <v>8.3428165455644088</v>
      </c>
      <c r="CY110" s="267">
        <f>INDEX($M$101:$Z$115,MATCH($CW110,$L$101:$L$115,0),MATCH(CY$102,$M$102:$Z$102,0))/INDEX(고양시_재차인원!$K$4:$O$20,MATCH("경기도",고양시_재차인원!$K$4:$K$20,0),MATCH(CY$102,고양시_재차인원!$K$4:$O$4,0))</f>
        <v>6.9010325018736349E-5</v>
      </c>
      <c r="CZ110" s="267">
        <f>INDEX($M$101:$Z$115,MATCH($CW110,$L$101:$L$115,0),MATCH(CZ$102,$M$102:$Z$102,0))/INDEX(고양시_재차인원!$K$4:$O$20,MATCH("경기도",고양시_재차인원!$K$4:$K$20,0),MATCH(CZ$102,고양시_재차인원!$K$4:$O$4,0))</f>
        <v>1.9184870355208702E-2</v>
      </c>
      <c r="DA110" s="267">
        <f>INDEX($M$101:$Z$115,MATCH($CW110,$L$101:$L$115,0),MATCH(DA$102,$M$102:$Z$102,0))/INDEX(고양시_재차인원!$D$4:$H$35,MATCH("고양시",고양시_재차인원!$B$4:$B$35,0),MATCH($CX$101,고양시_재차인원!$D$4:$H$4,0))</f>
        <v>0.53572838544768264</v>
      </c>
      <c r="DB110" s="267">
        <f>INDEX($AA$101:$AN$115,MATCH($CW110,$L$101:$L$115,0),MATCH(DB$102,$AA$102:$AN$102,0))/INDEX(고양시_재차인원!$D$4:$H$35,MATCH("고양시",고양시_재차인원!$B$4:$B$35,0),MATCH($DB$101,고양시_재차인원!$D$4:$H$4,0))</f>
        <v>51.531798927659374</v>
      </c>
      <c r="DC110" s="267">
        <f>INDEX($AA$101:$AN$115,MATCH($CW110,$L$101:$L$115,0),MATCH(DC$102,$AA$102:$AN$102,0))/INDEX(고양시_재차인원!$K$4:$O$20,MATCH("경기도",고양시_재차인원!$K$4:$K$20,0),MATCH(DC$102,고양시_재차인원!$K$4:$O$4,0))</f>
        <v>5.3663349015582349E-4</v>
      </c>
      <c r="DD110" s="267">
        <f>INDEX($AA$101:$AN$115,MATCH($CW110,$L$101:$L$115,0),MATCH(DD$102,$AA$102:$AN$102,0))/INDEX(고양시_재차인원!$K$4:$O$20,MATCH("경기도",고양시_재차인원!$K$4:$K$20,0),MATCH(DD$102,고양시_재차인원!$K$4:$O$4,0))</f>
        <v>0.14918411026331896</v>
      </c>
      <c r="DE110" s="267">
        <f>INDEX($AA$101:$AN$115,MATCH($CW110,$L$101:$L$115,0),MATCH(DE$102,$AA$102:$AN$102,0))/INDEX(고양시_재차인원!$D$4:$H$35,MATCH("고양시",고양시_재차인원!$B$4:$B$35,0),MATCH($DB$101,고양시_재차인원!$D$4:$H$4,0))</f>
        <v>3.3090800076872484</v>
      </c>
      <c r="DF110" s="267">
        <f>INDEX($AO$101:$BB$115,MATCH($CW110,$L$101:$L$115,0),MATCH(DF$102,$AO$102:$BB$102,0))/INDEX(고양시_재차인원!$D$4:$H$35,MATCH("고양시",고양시_재차인원!$B$4:$B$35,0),MATCH($DF$101,고양시_재차인원!$D$4:$H$4,0))</f>
        <v>2.4774406988757707</v>
      </c>
      <c r="DG110" s="267">
        <f>INDEX($AO$101:$BB$115,MATCH($CW110,$L$101:$L$115,0),MATCH(DG$102,$AO$102:$BB$102,0))/INDEX(고양시_재차인원!$K$4:$O$20,MATCH("경기도",고양시_재차인원!$K$4:$K$20,0),MATCH(DG$102,고양시_재차인원!$K$4:$O$4,0))</f>
        <v>2.3786468936587385E-5</v>
      </c>
      <c r="DH110" s="267">
        <f>INDEX($AO$101:$BB$115,MATCH($CW110,$L$101:$L$115,0),MATCH(DH$102,$AO$102:$BB$102,0))/INDEX(고양시_재차인원!$K$4:$O$20,MATCH("경기도",고양시_재차인원!$K$4:$K$20,0),MATCH(DH$102,고양시_재차인원!$K$4:$O$4,0))</f>
        <v>6.6126383643712924E-3</v>
      </c>
      <c r="DI110" s="267">
        <f>INDEX($AO$101:$BB$115,MATCH($CW110,$L$101:$L$115,0),MATCH(DI$102,$AO$102:$BB$102,0))/INDEX(고양시_재차인원!$D$4:$H$35,MATCH("고양시",고양시_재차인원!$B$4:$B$35,0),MATCH($DF$101,고양시_재차인원!$D$4:$H$4,0))</f>
        <v>0.15908719775897995</v>
      </c>
      <c r="DJ110" s="267">
        <f>INDEX($BC$101:$BP$115,MATCH($CW110,$L$101:$L$115,0),MATCH(DJ$102,$BC$102:$BP$102,0))/INDEX(고양시_재차인원!$D$4:$H$35,MATCH("고양시",고양시_재차인원!$B$4:$B$35,0),MATCH($DJ$101,고양시_재차인원!$D$4:$H$4,0))</f>
        <v>6.4220795783419531E-3</v>
      </c>
      <c r="DK110" s="267">
        <f>INDEX($BC$101:$BP$115,MATCH($CW110,$L$101:$L$115,0),MATCH(DK$102,$BC$102:$BP$102,0))/INDEX(고양시_재차인원!$K$4:$O$20,MATCH("경기도",고양시_재차인원!$K$4:$K$20,0),MATCH(DK$102,고양시_재차인원!$K$4:$O$4,0))</f>
        <v>6.4505678472101137E-8</v>
      </c>
      <c r="DL110" s="267">
        <f>INDEX($BC$101:$BP$115,MATCH($CW110,$L$101:$L$115,0),MATCH(DL$102,$BC$102:$BP$102,0))/INDEX(고양시_재차인원!$K$4:$O$20,MATCH("경기도",고양시_재차인원!$K$4:$K$20,0),MATCH(DL$102,고양시_재차인원!$K$4:$O$4,0))</f>
        <v>1.7932578615244118E-5</v>
      </c>
      <c r="DM110" s="267">
        <f>INDEX($BC$101:$BP$115,MATCH($CW110,$L$101:$L$115,0),MATCH(DM$102,$BC$102:$BP$102,0))/INDEX(고양시_재차인원!$D$4:$H$35,MATCH("고양시",고양시_재차인원!$B$4:$B$35,0),MATCH($DJ$101,고양시_재차인원!$D$4:$H$4,0))</f>
        <v>4.1238954553673616E-4</v>
      </c>
      <c r="DN110" s="267">
        <f>INDEX($BQ$101:$CD$115,MATCH($CW110,$L$101:$L$115,0),MATCH(DN$102,$BQ$102:$CD$102,0))/INDEX(고양시_재차인원!$D$4:$H$35,MATCH("고양시",고양시_재차인원!$B$4:$B$35,0),MATCH($DN$101,고양시_재차인원!$D$4:$H$4,0))</f>
        <v>1.9640010562336829E-2</v>
      </c>
      <c r="DO110" s="267">
        <f>INDEX($BQ$101:$CD$115,MATCH($CW110,$L$101:$L$115,0),MATCH(DO$102,$BQ$102:$CD$102,0))/INDEX(고양시_재차인원!$K$4:$O$20,MATCH("경기도",고양시_재차인원!$K$4:$K$20,0),MATCH(DO$102,고양시_재차인원!$K$4:$O$4,0))</f>
        <v>1.8276608900428711E-7</v>
      </c>
      <c r="DP110" s="267">
        <f>INDEX($BQ$101:$CD$115,MATCH($CW110,$L$101:$L$115,0),MATCH(DP$102,$BQ$102:$CD$102,0))/INDEX(고양시_재차인원!$K$4:$O$20,MATCH("경기도",고양시_재차인원!$K$4:$K$20,0),MATCH(DP$102,고양시_재차인원!$K$4:$O$4,0))</f>
        <v>5.0808972743191822E-5</v>
      </c>
      <c r="DQ110" s="267">
        <f>INDEX($BQ$101:$CD$115,MATCH($CW110,$L$101:$L$115,0),MATCH(DQ$102,$BQ$102:$CD$102,0))/INDEX(고양시_재차인원!$D$4:$H$35,MATCH("고양시",고양시_재차인원!$B$4:$B$35,0),MATCH($DN$101,고양시_재차인원!$D$4:$H$4,0))</f>
        <v>1.2611701445515036E-3</v>
      </c>
      <c r="DR110" s="270">
        <f t="shared" si="53"/>
        <v>62.378118262240228</v>
      </c>
      <c r="DS110" s="270">
        <f t="shared" si="48"/>
        <v>6.2967755587862355E-4</v>
      </c>
      <c r="DT110" s="270">
        <f t="shared" si="48"/>
        <v>0.1750503605342574</v>
      </c>
      <c r="DU110" s="270">
        <f t="shared" si="48"/>
        <v>4.0055691505839999</v>
      </c>
      <c r="DW110" s="278"/>
      <c r="DX110" s="278" t="s">
        <v>302</v>
      </c>
      <c r="DY110" s="281">
        <f t="shared" si="54"/>
        <v>66.38368741282423</v>
      </c>
      <c r="DZ110" s="281">
        <f t="shared" si="55"/>
        <v>0.17568003809013602</v>
      </c>
      <c r="EB110" s="278"/>
      <c r="EC110" s="278" t="s">
        <v>302</v>
      </c>
      <c r="ED110" s="281">
        <f t="shared" si="56"/>
        <v>66.38368741282423</v>
      </c>
      <c r="EE110" s="281">
        <f t="shared" si="49"/>
        <v>0.17568003809013602</v>
      </c>
      <c r="EL110" s="306" t="s">
        <v>667</v>
      </c>
      <c r="EM110" s="306" t="s">
        <v>568</v>
      </c>
      <c r="EN110" s="306">
        <v>26312.316800000001</v>
      </c>
      <c r="EO110" s="306">
        <v>0.1416840985854132</v>
      </c>
      <c r="EP110" s="307">
        <v>849108</v>
      </c>
      <c r="EQ110" s="308">
        <f t="shared" si="57"/>
        <v>636.58595407834594</v>
      </c>
      <c r="ER110" s="308">
        <f t="shared" si="58"/>
        <v>1.6846826233778125</v>
      </c>
      <c r="ET110" s="420" t="s">
        <v>667</v>
      </c>
      <c r="EU110" s="420" t="s">
        <v>568</v>
      </c>
      <c r="EV110" s="420">
        <v>26312.316800000001</v>
      </c>
      <c r="EW110" s="420">
        <v>0.1416840985854132</v>
      </c>
      <c r="EX110" s="421">
        <v>849108</v>
      </c>
      <c r="EY110" s="422">
        <f t="shared" si="59"/>
        <v>618.44325438711314</v>
      </c>
      <c r="EZ110" s="422">
        <f t="shared" si="60"/>
        <v>1.6366691686115449</v>
      </c>
      <c r="FA110">
        <v>0</v>
      </c>
      <c r="FD110" s="306" t="s">
        <v>667</v>
      </c>
      <c r="FE110" s="306" t="s">
        <v>568</v>
      </c>
      <c r="FF110" s="306">
        <v>26312.316800000001</v>
      </c>
      <c r="FG110" s="306">
        <v>0.1416840985854132</v>
      </c>
      <c r="FH110" s="307">
        <v>849108</v>
      </c>
      <c r="FI110" s="308">
        <f t="shared" si="61"/>
        <v>618.44325438711314</v>
      </c>
      <c r="FJ110" s="308">
        <f t="shared" si="50"/>
        <v>1.6366691686115449</v>
      </c>
      <c r="FL110" s="101"/>
      <c r="FM110" s="101"/>
      <c r="FN110" s="101"/>
      <c r="FO110" s="101"/>
      <c r="FP110" s="374"/>
      <c r="FQ110" s="404"/>
      <c r="FR110" s="404"/>
    </row>
    <row r="111" spans="1:174">
      <c r="A111" s="205"/>
      <c r="B111" s="205" t="s">
        <v>303</v>
      </c>
      <c r="C111" s="400">
        <f>$AB69*KTDB_TripDistribution_2035!L$12 * (1+KTDB_발생량도착량_증가율!$C$8*2) * (1+KTDB_발생량도착량_증가율!$D$7*5) * (1+KTDB_발생량도착량_증가율!$E$7*5)</f>
        <v>35.16011676894103</v>
      </c>
      <c r="D111" s="400">
        <f>$AB69*KTDB_TripDistribution_2035!M$12 * (1+KTDB_발생량도착량_증가율!$C$8*2) * (1+KTDB_발생량도착량_증가율!$D$7*5) * (1+KTDB_발생량도착량_증가율!$E$7*5)</f>
        <v>273.40975674118943</v>
      </c>
      <c r="E111" s="400">
        <f>$AB69*KTDB_TripDistribution_2035!N$12 * (1+KTDB_발생량도착량_증가율!$C$8*2) * (1+KTDB_발생량도착량_증가율!$D$7*5) * (1+KTDB_발생량도착량_증가율!$E$7*5)</f>
        <v>12.118984008612271</v>
      </c>
      <c r="F111" s="400">
        <f>$AB69*KTDB_TripDistribution_2035!O$12 * (1+KTDB_발생량도착량_증가율!$C$8*2) * (1+KTDB_발생량도착량_증가율!$D$7*5) * (1+KTDB_발생량도착량_증가율!$E$7*5)</f>
        <v>3.2865041379287391E-2</v>
      </c>
      <c r="G111" s="400">
        <f>$AB69*KTDB_TripDistribution_2035!P$12 * (1+KTDB_발생량도착량_증가율!$C$8*2) * (1+KTDB_발생량도착량_증가율!$D$7*5) * (1+KTDB_발생량도착량_증가율!$E$7*5)</f>
        <v>9.3117617241314551E-2</v>
      </c>
      <c r="H111" s="400">
        <f>$AB69*KTDB_TripDistribution_2035!Q$12 * (1+KTDB_발생량도착량_증가율!$C$8*2) * (1+KTDB_발생량도착량_증가율!$D$7*5) * (1+KTDB_발생량도착량_증가율!$E$7*5)</f>
        <v>320.81484017736341</v>
      </c>
      <c r="I111" s="56"/>
      <c r="J111" s="56"/>
      <c r="K111" s="206"/>
      <c r="L111" s="206" t="s">
        <v>303</v>
      </c>
      <c r="M111" s="206">
        <f>INDEX($A$102:$H$115,MATCH($L111,$B$102:$B$115,0),MATCH($M$101,$A$102:$H$102,0))*고양시_Modal_split!C$3 * 0.01</f>
        <v>9.8448326953034876E-2</v>
      </c>
      <c r="N111" s="206">
        <f>INDEX($A$102:$H$115,MATCH($L111,$B$102:$B$115,0),MATCH($M$101,$A$102:$H$102,0))*고양시_Modal_split!D$3 * 0.01</f>
        <v>16.535802916432967</v>
      </c>
      <c r="O111" s="206">
        <f>INDEX($A$102:$H$115,MATCH($L111,$B$102:$B$115,0),MATCH($M$101,$A$102:$H$102,0))*고양시_Modal_split!E$3 * 0.01</f>
        <v>2.0006106441527445</v>
      </c>
      <c r="P111" s="206">
        <f>INDEX($A$102:$H$115,MATCH($L111,$B$102:$B$115,0),MATCH($M$101,$A$102:$H$102,0))*고양시_Modal_split!F$3 * 0.01</f>
        <v>3.224182707711893</v>
      </c>
      <c r="Q111" s="206">
        <f>INDEX($A$102:$H$115,MATCH($L111,$B$102:$B$115,0),MATCH($M$101,$A$102:$H$102,0))*고양시_Modal_split!G$3 * 0.01</f>
        <v>0.32347307427425748</v>
      </c>
      <c r="R111" s="206">
        <f>INDEX($A$102:$H$115,MATCH($L111,$B$102:$B$115,0),MATCH($M$101,$A$102:$H$102,0))*고양시_Modal_split!H$3 * 0.01</f>
        <v>3.5160116768941031E-3</v>
      </c>
      <c r="S111" s="206">
        <f>INDEX($A$102:$H$115,MATCH($L111,$B$102:$B$115,0),MATCH($M$101,$A$102:$H$102,0))*고양시_Modal_split!I$3 * 0.01</f>
        <v>0.97745124617656065</v>
      </c>
      <c r="T111" s="206">
        <f>INDEX($A$102:$H$115,MATCH($L111,$B$102:$B$115,0),MATCH($M$101,$A$102:$H$102,0))*고양시_Modal_split!J$3 * 0.01</f>
        <v>10.702739544465651</v>
      </c>
      <c r="U111" s="206">
        <f>INDEX($A$102:$H$115,MATCH($L111,$B$102:$B$115,0),MATCH($M$101,$A$102:$H$102,0))*고양시_Modal_split!K$3 * 0.01</f>
        <v>5.2740175153411548E-2</v>
      </c>
      <c r="V111" s="206">
        <f>INDEX($A$102:$H$115,MATCH($L111,$B$102:$B$115,0),MATCH($M$101,$A$102:$H$102,0))*고양시_Modal_split!L$3 * 0.01</f>
        <v>1.0618355264220192</v>
      </c>
      <c r="W111" s="206">
        <f>INDEX($A$102:$H$115,MATCH($L111,$B$102:$B$115,0),MATCH($M$101,$A$102:$H$102,0))*고양시_Modal_split!M$3 * 0.01</f>
        <v>8.0868268568564369E-2</v>
      </c>
      <c r="X111" s="206">
        <f>INDEX($A$102:$H$115,MATCH($L111,$B$102:$B$115,0),MATCH($M$101,$A$102:$H$102,0))*고양시_Modal_split!N$3 * 0.01</f>
        <v>3.5160116768941034E-2</v>
      </c>
      <c r="Y111" s="206">
        <f>INDEX($A$102:$H$115,MATCH($L111,$B$102:$B$115,0),MATCH($M$101,$A$102:$H$102,0))*고양시_Modal_split!O$3 * 0.01</f>
        <v>6.3288210184093863E-2</v>
      </c>
      <c r="Z111" s="209">
        <f>INDEX($A$102:$H$115,MATCH($L111,$B$102:$B$115,0),MATCH($M$101,$A$102:$H$102,0))*고양시_Modal_split!P$3 * 0.01</f>
        <v>35.16011676894103</v>
      </c>
      <c r="AA111" s="207">
        <f>INDEX($A$102:$H$115,MATCH($L111,$B$102:$B$115,0),MATCH($AA$101,$A$102:$H$102,0))*고양시_Modal_split!C$3 * 0.01</f>
        <v>0.76554731887533034</v>
      </c>
      <c r="AB111" s="207">
        <f>INDEX($A$102:$H$115,MATCH($L111,$B$102:$B$115,0),MATCH($AA$101,$A$102:$H$102,0))*고양시_Modal_split!D$3 * 0.01</f>
        <v>128.58460859538141</v>
      </c>
      <c r="AC111" s="207">
        <f>INDEX($A$102:$H$115,MATCH($L111,$B$102:$B$115,0),MATCH($AA$101,$A$102:$H$102,0))*고양시_Modal_split!E$3 * 0.01</f>
        <v>15.557015158573677</v>
      </c>
      <c r="AD111" s="207">
        <f>INDEX($A$102:$H$115,MATCH($L111,$B$102:$B$115,0),MATCH($AA$101,$A$102:$H$102,0))*고양시_Modal_split!F$3 * 0.01</f>
        <v>25.071674693167068</v>
      </c>
      <c r="AE111" s="207">
        <f>INDEX($A$102:$H$115,MATCH($L111,$B$102:$B$115,0),MATCH($AA$101,$A$102:$H$102,0))*고양시_Modal_split!G$3 * 0.01</f>
        <v>2.5153697620189424</v>
      </c>
      <c r="AF111" s="207">
        <f>INDEX($A$102:$H$115,MATCH($L111,$B$102:$B$115,0),MATCH($AA$101,$A$102:$H$102,0))*고양시_Modal_split!H$3 * 0.01</f>
        <v>2.7340975674118941E-2</v>
      </c>
      <c r="AG111" s="207">
        <f>INDEX($A$102:$H$115,MATCH($L111,$B$102:$B$115,0),MATCH($AA$101,$A$102:$H$102,0))*고양시_Modal_split!I$3 * 0.01</f>
        <v>7.6007912374050663</v>
      </c>
      <c r="AH111" s="207">
        <f>INDEX($A$102:$H$115,MATCH($L111,$B$102:$B$115,0),MATCH($AA$101,$A$102:$H$102,0))*고양시_Modal_split!J$3 * 0.01</f>
        <v>83.225929952018063</v>
      </c>
      <c r="AI111" s="207">
        <f>INDEX($A$102:$H$115,MATCH($L111,$B$102:$B$115,0),MATCH($AA$101,$A$102:$H$102,0))*고양시_Modal_split!K$3 * 0.01</f>
        <v>0.41011463511178414</v>
      </c>
      <c r="AJ111" s="207">
        <f>INDEX($A$102:$H$115,MATCH($L111,$B$102:$B$115,0),MATCH($AA$101,$A$102:$H$102,0))*고양시_Modal_split!L$3 * 0.01</f>
        <v>8.2569746535839208</v>
      </c>
      <c r="AK111" s="207">
        <f>INDEX($A$102:$H$115,MATCH($L111,$B$102:$B$115,0),MATCH($AA$101,$A$102:$H$102,0))*고양시_Modal_split!M$3 * 0.01</f>
        <v>0.62884244050473559</v>
      </c>
      <c r="AL111" s="207">
        <f>INDEX($A$102:$H$115,MATCH($L111,$B$102:$B$115,0),MATCH($AA$101,$A$102:$H$102,0))*고양시_Modal_split!N$3 * 0.01</f>
        <v>0.27340975674118945</v>
      </c>
      <c r="AM111" s="207">
        <f>INDEX($A$102:$H$115,MATCH($L111,$B$102:$B$115,0),MATCH($AA$101,$A$102:$H$102,0))*고양시_Modal_split!O$3 * 0.01</f>
        <v>0.49213756213414095</v>
      </c>
      <c r="AN111" s="207">
        <f>INDEX($A$102:$H$115,MATCH($L111,$B$102:$B$115,0),MATCH($AA$101,$A$102:$H$102,0))*고양시_Modal_split!P$3 * 0.01</f>
        <v>273.40975674118943</v>
      </c>
      <c r="AO111" s="303">
        <f>INDEX($A$102:$H$115,MATCH($L111,$B$102:$B$115,0),MATCH($AO$101,$A$102:$H$102,0))*고양시_Modal_split!C$3 * 0.01</f>
        <v>3.3933155224114359E-2</v>
      </c>
      <c r="AP111" s="303">
        <f>INDEX($A$102:$H$115,MATCH($L111,$B$102:$B$115,0),MATCH($AO$101,$A$102:$H$102,0))*고양시_Modal_split!D$3 * 0.01</f>
        <v>5.699558179250352</v>
      </c>
      <c r="AQ111" s="303">
        <f>INDEX($A$102:$H$115,MATCH($L111,$B$102:$B$115,0),MATCH($AO$101,$A$102:$H$102,0))*고양시_Modal_split!E$3 * 0.01</f>
        <v>0.68957019009003817</v>
      </c>
      <c r="AR111" s="303">
        <f>INDEX($A$102:$H$115,MATCH($L111,$B$102:$B$115,0),MATCH($AO$101,$A$102:$H$102,0))*고양시_Modal_split!F$3 * 0.01</f>
        <v>1.1113108335897453</v>
      </c>
      <c r="AS111" s="303">
        <f>INDEX($A$102:$H$115,MATCH($L111,$B$102:$B$115,0),MATCH($AO$101,$A$102:$H$102,0))*고양시_Modal_split!G$3 * 0.01</f>
        <v>0.11149465287923288</v>
      </c>
      <c r="AT111" s="303">
        <f>INDEX($A$102:$H$115,MATCH($L111,$B$102:$B$115,0),MATCH($AO$101,$A$102:$H$102,0))*고양시_Modal_split!H$3 * 0.01</f>
        <v>1.2118984008612271E-3</v>
      </c>
      <c r="AU111" s="303">
        <f>INDEX($A$102:$H$115,MATCH($L111,$B$102:$B$115,0),MATCH($AO$101,$A$102:$H$102,0))*고양시_Modal_split!I$3 * 0.01</f>
        <v>0.33690775543942109</v>
      </c>
      <c r="AV111" s="303">
        <f>INDEX($A$102:$H$115,MATCH($L111,$B$102:$B$115,0),MATCH($AO$101,$A$102:$H$102,0))*고양시_Modal_split!J$3 * 0.01</f>
        <v>3.6890187322215757</v>
      </c>
      <c r="AW111" s="303">
        <f>INDEX($A$102:$H$115,MATCH($L111,$B$102:$B$115,0),MATCH($AO$101,$A$102:$H$102,0))*고양시_Modal_split!K$3 * 0.01</f>
        <v>1.8178476012918405E-2</v>
      </c>
      <c r="AX111" s="303">
        <f>INDEX($A$102:$H$115,MATCH($L111,$B$102:$B$115,0),MATCH($AO$101,$A$102:$H$102,0))*고양시_Modal_split!L$3 * 0.01</f>
        <v>0.36599331706009058</v>
      </c>
      <c r="AY111" s="303">
        <f>INDEX($A$102:$H$115,MATCH($L111,$B$102:$B$115,0),MATCH($AO$101,$A$102:$H$102,0))*고양시_Modal_split!M$3 * 0.01</f>
        <v>2.787366321980822E-2</v>
      </c>
      <c r="AZ111" s="303">
        <f>INDEX($A$102:$H$115,MATCH($L111,$B$102:$B$115,0),MATCH($AO$101,$A$102:$H$102,0))*고양시_Modal_split!N$3 * 0.01</f>
        <v>1.2118984008612273E-2</v>
      </c>
      <c r="BA111" s="207">
        <f>INDEX($A$102:$H$115,MATCH($L111,$B$102:$B$115,0),MATCH($AO$101,$A$102:$H$102,0))*고양시_Modal_split!O$3 * 0.01</f>
        <v>2.1814171215502089E-2</v>
      </c>
      <c r="BB111" s="207">
        <f>INDEX($A$102:$H$115,MATCH($L111,$B$102:$B$115,0),MATCH($AO$101,$A$102:$H$102,0))*고양시_Modal_split!P$3 * 0.01</f>
        <v>12.118984008612273</v>
      </c>
      <c r="BC111" s="207">
        <f>INDEX($A$102:$H$115,MATCH($L111,$B$102:$B$115,0),MATCH($BC$101,$A$102:$H$102,0))*고양시_Modal_split!C$3 * 0.01</f>
        <v>9.202211586200469E-5</v>
      </c>
      <c r="BD111" s="207">
        <f>INDEX($A$102:$H$115,MATCH($L111,$B$102:$B$115,0),MATCH($BC$101,$A$102:$H$102,0))*고양시_Modal_split!D$3 * 0.01</f>
        <v>1.5456428960678861E-2</v>
      </c>
      <c r="BE111" s="207">
        <f>INDEX($A$102:$H$115,MATCH($L111,$B$102:$B$115,0),MATCH($BC$101,$A$102:$H$102,0))*고양시_Modal_split!E$3 * 0.01</f>
        <v>1.8700208544814524E-3</v>
      </c>
      <c r="BF111" s="207">
        <f>INDEX($A$102:$H$115,MATCH($L111,$B$102:$B$115,0),MATCH($BC$101,$A$102:$H$102,0))*고양시_Modal_split!F$3 * 0.01</f>
        <v>3.0137242944806536E-3</v>
      </c>
      <c r="BG111" s="207">
        <f>INDEX($A$102:$H$115,MATCH($L111,$B$102:$B$115,0),MATCH($BC$101,$A$102:$H$102,0))*고양시_Modal_split!G$3 * 0.01</f>
        <v>3.0235838068944397E-4</v>
      </c>
      <c r="BH111" s="207">
        <f>INDEX($A$102:$H$115,MATCH($L111,$B$102:$B$115,0),MATCH($BC$101,$A$102:$H$102,0))*고양시_Modal_split!H$3 * 0.01</f>
        <v>3.2865041379287393E-6</v>
      </c>
      <c r="BI111" s="207">
        <f>INDEX($A$102:$H$115,MATCH($L111,$B$102:$B$115,0),MATCH($BC$101,$A$102:$H$102,0))*고양시_Modal_split!I$3 * 0.01</f>
        <v>9.1364815034418944E-4</v>
      </c>
      <c r="BJ111" s="207">
        <f>INDEX($A$102:$H$115,MATCH($L111,$B$102:$B$115,0),MATCH($BC$101,$A$102:$H$102,0))*고양시_Modal_split!J$3 * 0.01</f>
        <v>1.0004118595855083E-2</v>
      </c>
      <c r="BK111" s="207">
        <f>INDEX($A$102:$H$115,MATCH($L111,$B$102:$B$115,0),MATCH($BC$101,$A$102:$H$102,0))*고양시_Modal_split!K$3 * 0.01</f>
        <v>4.9297562068931084E-5</v>
      </c>
      <c r="BL111" s="207">
        <f>INDEX($A$102:$H$115,MATCH($L111,$B$102:$B$115,0),MATCH($BC$101,$A$102:$H$102,0))*고양시_Modal_split!L$3 * 0.01</f>
        <v>9.9252424965447922E-4</v>
      </c>
      <c r="BM111" s="207">
        <f>INDEX($A$102:$H$115,MATCH($L111,$B$102:$B$115,0),MATCH($BC$101,$A$102:$H$102,0))*고양시_Modal_split!M$3 * 0.01</f>
        <v>7.5589595172360991E-5</v>
      </c>
      <c r="BN111" s="207">
        <f>INDEX($A$102:$H$115,MATCH($L111,$B$102:$B$115,0),MATCH($BC$101,$A$102:$H$102,0))*고양시_Modal_split!N$3 * 0.01</f>
        <v>3.2865041379287391E-5</v>
      </c>
      <c r="BO111" s="207">
        <f>INDEX($A$102:$H$115,MATCH($L111,$B$102:$B$115,0),MATCH($BC$101,$A$102:$H$102,0))*고양시_Modal_split!O$3 * 0.01</f>
        <v>5.9157074482717299E-5</v>
      </c>
      <c r="BP111" s="207">
        <f>INDEX($A$102:$H$115,MATCH($L111,$B$102:$B$115,0),MATCH($BC$101,$A$102:$H$102,0))*고양시_Modal_split!P$3 * 0.01</f>
        <v>3.2865041379287391E-2</v>
      </c>
      <c r="BQ111" s="207">
        <f>INDEX($A$102:$H$115,MATCH($L111,$B$102:$B$115,0),MATCH($BQ$101,$A$102:$H$102,0))*고양시_Modal_split!C$3 * 0.01</f>
        <v>2.6072932827568074E-4</v>
      </c>
      <c r="BR111" s="207">
        <f>INDEX($A$102:$H$115,MATCH($L111,$B$102:$B$115,0),MATCH($BQ$101,$A$102:$H$102,0))*고양시_Modal_split!D$3 * 0.01</f>
        <v>4.3793215388590233E-2</v>
      </c>
      <c r="BS111" s="207">
        <f>INDEX($A$102:$H$115,MATCH($L111,$B$102:$B$115,0),MATCH($BQ$101,$A$102:$H$102,0))*고양시_Modal_split!E$3 * 0.01</f>
        <v>5.2983924210307978E-3</v>
      </c>
      <c r="BT111" s="207">
        <f>INDEX($A$102:$H$115,MATCH($L111,$B$102:$B$115,0),MATCH($BQ$101,$A$102:$H$102,0))*고양시_Modal_split!F$3 * 0.01</f>
        <v>8.5388855010285446E-3</v>
      </c>
      <c r="BU111" s="207">
        <f>INDEX($A$102:$H$115,MATCH($L111,$B$102:$B$115,0),MATCH($BQ$101,$A$102:$H$102,0))*고양시_Modal_split!G$3 * 0.01</f>
        <v>8.5668207862009383E-4</v>
      </c>
      <c r="BV111" s="207">
        <f>INDEX($A$102:$H$115,MATCH($L111,$B$102:$B$115,0),MATCH($BQ$101,$A$102:$H$102,0))*고양시_Modal_split!H$3 * 0.01</f>
        <v>9.3117617241314561E-6</v>
      </c>
      <c r="BW111" s="207">
        <f>INDEX($A$102:$H$115,MATCH($L111,$B$102:$B$115,0),MATCH($BQ$101,$A$102:$H$102,0))*고양시_Modal_split!I$3 * 0.01</f>
        <v>2.5886697593085445E-3</v>
      </c>
      <c r="BX111" s="207">
        <f>INDEX($A$102:$H$115,MATCH($L111,$B$102:$B$115,0),MATCH($BQ$101,$A$102:$H$102,0))*고양시_Modal_split!J$3 * 0.01</f>
        <v>2.8345002688256151E-2</v>
      </c>
      <c r="BY111" s="207">
        <f>INDEX($A$102:$H$115,MATCH($L111,$B$102:$B$115,0),MATCH($BQ$101,$A$102:$H$102,0))*고양시_Modal_split!K$3 * 0.01</f>
        <v>1.3967642586197181E-4</v>
      </c>
      <c r="BZ111" s="207">
        <f>INDEX($A$102:$H$115,MATCH($L111,$B$102:$B$115,0),MATCH($BQ$101,$A$102:$H$102,0))*고양시_Modal_split!L$3 * 0.01</f>
        <v>2.8121520406876994E-3</v>
      </c>
      <c r="CA111" s="207">
        <f>INDEX($A$102:$H$115,MATCH($L111,$B$102:$B$115,0),MATCH($BQ$101,$A$102:$H$102,0))*고양시_Modal_split!M$3 * 0.01</f>
        <v>2.1417051965502346E-4</v>
      </c>
      <c r="CB111" s="207">
        <f>INDEX($A$102:$H$115,MATCH($L111,$B$102:$B$115,0),MATCH($BQ$101,$A$102:$H$102,0))*고양시_Modal_split!N$3 * 0.01</f>
        <v>9.3117617241314561E-5</v>
      </c>
      <c r="CC111" s="207">
        <f>INDEX($A$102:$H$115,MATCH($L111,$B$102:$B$115,0),MATCH($BQ$101,$A$102:$H$102,0))*고양시_Modal_split!O$3 * 0.01</f>
        <v>1.676117110343662E-4</v>
      </c>
      <c r="CD111" s="207">
        <f>INDEX($A$102:$H$115,MATCH($L111,$B$102:$B$115,0),MATCH($BQ$101,$A$102:$H$102,0))*고양시_Modal_split!P$3 * 0.01</f>
        <v>9.3117617241314565E-2</v>
      </c>
      <c r="CE111" s="304">
        <f t="shared" si="51"/>
        <v>0.89828155249661723</v>
      </c>
      <c r="CF111" s="304">
        <f t="shared" si="47"/>
        <v>150.87921933541401</v>
      </c>
      <c r="CG111" s="304">
        <f t="shared" si="47"/>
        <v>18.254364406091973</v>
      </c>
      <c r="CH111" s="304">
        <f t="shared" si="47"/>
        <v>29.418720844264215</v>
      </c>
      <c r="CI111" s="304">
        <f t="shared" si="47"/>
        <v>2.9514965296317421</v>
      </c>
      <c r="CJ111" s="304">
        <f t="shared" si="47"/>
        <v>3.2081484017736334E-2</v>
      </c>
      <c r="CK111" s="304">
        <f t="shared" si="47"/>
        <v>8.9186525569307022</v>
      </c>
      <c r="CL111" s="304">
        <f t="shared" si="47"/>
        <v>97.65603734998939</v>
      </c>
      <c r="CM111" s="304">
        <f t="shared" si="47"/>
        <v>0.48122226026604503</v>
      </c>
      <c r="CN111" s="304">
        <f t="shared" si="47"/>
        <v>9.6886081733563731</v>
      </c>
      <c r="CO111" s="304">
        <f t="shared" si="47"/>
        <v>0.73787413240793553</v>
      </c>
      <c r="CP111" s="304">
        <f t="shared" si="47"/>
        <v>0.32081484017736334</v>
      </c>
      <c r="CQ111" s="304">
        <f t="shared" si="47"/>
        <v>0.57746671231925395</v>
      </c>
      <c r="CR111" s="304">
        <f t="shared" si="47"/>
        <v>320.81484017736329</v>
      </c>
      <c r="CS111" s="305">
        <f t="shared" si="52"/>
        <v>0</v>
      </c>
      <c r="CV111" s="267"/>
      <c r="CW111" s="267" t="s">
        <v>303</v>
      </c>
      <c r="CX111" s="267">
        <f>INDEX($M$101:$Z$115,MATCH($CW111,$L$101:$L$115,0),MATCH(CX$102,$M$102:$Z$102,0))/INDEX(고양시_재차인원!$D$4:$H$35,MATCH("고양시",고양시_재차인원!$B$4:$B$35,0),MATCH($CX$101,고양시_재차인원!$D$4:$H$4,0))</f>
        <v>14.764109746815148</v>
      </c>
      <c r="CY111" s="267">
        <f>INDEX($M$101:$Z$115,MATCH($CW111,$L$101:$L$115,0),MATCH(CY$102,$M$102:$Z$102,0))/INDEX(고양시_재차인원!$K$4:$O$20,MATCH("경기도",고양시_재차인원!$K$4:$K$20,0),MATCH(CY$102,고양시_재차인원!$K$4:$O$4,0))</f>
        <v>1.2212614369204943E-4</v>
      </c>
      <c r="CZ111" s="267">
        <f>INDEX($M$101:$Z$115,MATCH($CW111,$L$101:$L$115,0),MATCH(CZ$102,$M$102:$Z$102,0))/INDEX(고양시_재차인원!$K$4:$O$20,MATCH("경기도",고양시_재차인원!$K$4:$K$20,0),MATCH(CZ$102,고양시_재차인원!$K$4:$O$4,0))</f>
        <v>3.3951067946389739E-2</v>
      </c>
      <c r="DA111" s="267">
        <f>INDEX($M$101:$Z$115,MATCH($CW111,$L$101:$L$115,0),MATCH(DA$102,$M$102:$Z$102,0))/INDEX(고양시_재차인원!$D$4:$H$35,MATCH("고양시",고양시_재차인원!$B$4:$B$35,0),MATCH($CX$101,고양시_재차인원!$D$4:$H$4,0))</f>
        <v>0.94806743430537421</v>
      </c>
      <c r="DB111" s="267">
        <f>INDEX($AA$101:$AN$115,MATCH($CW111,$L$101:$L$115,0),MATCH(DB$102,$AA$102:$AN$102,0))/INDEX(고양시_재차인원!$D$4:$H$35,MATCH("고양시",고양시_재차인원!$B$4:$B$35,0),MATCH($DB$101,고양시_재차인원!$D$4:$H$4,0))</f>
        <v>91.19475786906483</v>
      </c>
      <c r="DC111" s="267">
        <f>INDEX($AA$101:$AN$115,MATCH($CW111,$L$101:$L$115,0),MATCH(DC$102,$AA$102:$AN$102,0))/INDEX(고양시_재차인원!$K$4:$O$20,MATCH("경기도",고양시_재차인원!$K$4:$K$20,0),MATCH(DC$102,고양시_재차인원!$K$4:$O$4,0))</f>
        <v>9.4966917937196747E-4</v>
      </c>
      <c r="DD111" s="267">
        <f>INDEX($AA$101:$AN$115,MATCH($CW111,$L$101:$L$115,0),MATCH(DD$102,$AA$102:$AN$102,0))/INDEX(고양시_재차인원!$K$4:$O$20,MATCH("경기도",고양시_재차인원!$K$4:$K$20,0),MATCH(DD$102,고양시_재차인원!$K$4:$O$4,0))</f>
        <v>0.26400803186540694</v>
      </c>
      <c r="DE111" s="267">
        <f>INDEX($AA$101:$AN$115,MATCH($CW111,$L$101:$L$115,0),MATCH(DE$102,$AA$102:$AN$102,0))/INDEX(고양시_재차인원!$D$4:$H$35,MATCH("고양시",고양시_재차인원!$B$4:$B$35,0),MATCH($DB$101,고양시_재차인원!$D$4:$H$4,0))</f>
        <v>5.8560103926127098</v>
      </c>
      <c r="DF111" s="267">
        <f>INDEX($AO$101:$BB$115,MATCH($CW111,$L$101:$L$115,0),MATCH(DF$102,$AO$102:$BB$102,0))/INDEX(고양시_재차인원!$D$4:$H$35,MATCH("고양시",고양시_재차인원!$B$4:$B$35,0),MATCH($DF$101,고양시_재차인원!$D$4:$H$4,0))</f>
        <v>4.3842755225002703</v>
      </c>
      <c r="DG111" s="267">
        <f>INDEX($AO$101:$BB$115,MATCH($CW111,$L$101:$L$115,0),MATCH(DG$102,$AO$102:$BB$102,0))/INDEX(고양시_재차인원!$K$4:$O$20,MATCH("경기도",고양시_재차인원!$K$4:$K$20,0),MATCH(DG$102,고양시_재차인원!$K$4:$O$4,0))</f>
        <v>4.2094421704106538E-5</v>
      </c>
      <c r="DH111" s="267">
        <f>INDEX($AO$101:$BB$115,MATCH($CW111,$L$101:$L$115,0),MATCH(DH$102,$AO$102:$BB$102,0))/INDEX(고양시_재차인원!$K$4:$O$20,MATCH("경기도",고양시_재차인원!$K$4:$K$20,0),MATCH(DH$102,고양시_재차인원!$K$4:$O$4,0))</f>
        <v>1.1702249233741614E-2</v>
      </c>
      <c r="DI111" s="267">
        <f>INDEX($AO$101:$BB$115,MATCH($CW111,$L$101:$L$115,0),MATCH(DI$102,$AO$102:$BB$102,0))/INDEX(고양시_재차인원!$D$4:$H$35,MATCH("고양시",고양시_재차인원!$B$4:$B$35,0),MATCH($DF$101,고양시_재차인원!$D$4:$H$4,0))</f>
        <v>0.28153332081545429</v>
      </c>
      <c r="DJ111" s="267">
        <f>INDEX($BC$101:$BP$115,MATCH($CW111,$L$101:$L$115,0),MATCH(DJ$102,$BC$102:$BP$102,0))/INDEX(고양시_재차인원!$D$4:$H$35,MATCH("고양시",고양시_재차인원!$B$4:$B$35,0),MATCH($DJ$101,고양시_재차인원!$D$4:$H$4,0))</f>
        <v>1.1365021294616808E-2</v>
      </c>
      <c r="DK111" s="267">
        <f>INDEX($BC$101:$BP$115,MATCH($CW111,$L$101:$L$115,0),MATCH(DK$102,$BC$102:$BP$102,0))/INDEX(고양시_재차인원!$K$4:$O$20,MATCH("경기도",고양시_재차인원!$K$4:$K$20,0),MATCH(DK$102,고양시_재차인원!$K$4:$O$4,0))</f>
        <v>1.1415436394333933E-7</v>
      </c>
      <c r="DL111" s="267">
        <f>INDEX($BC$101:$BP$115,MATCH($CW111,$L$101:$L$115,0),MATCH(DL$102,$BC$102:$BP$102,0))/INDEX(고양시_재차인원!$K$4:$O$20,MATCH("경기도",고양시_재차인원!$K$4:$K$20,0),MATCH(DL$102,고양시_재차인원!$K$4:$O$4,0))</f>
        <v>3.1734913176248334E-5</v>
      </c>
      <c r="DM111" s="267">
        <f>INDEX($BC$101:$BP$115,MATCH($CW111,$L$101:$L$115,0),MATCH(DM$102,$BC$102:$BP$102,0))/INDEX(고양시_재차인원!$D$4:$H$35,MATCH("고양시",고양시_재차인원!$B$4:$B$35,0),MATCH($DJ$101,고양시_재차인원!$D$4:$H$4,0))</f>
        <v>7.2979724239299935E-4</v>
      </c>
      <c r="DN111" s="267">
        <f>INDEX($BQ$101:$CD$115,MATCH($CW111,$L$101:$L$115,0),MATCH(DN$102,$BQ$102:$CD$102,0))/INDEX(고양시_재차인원!$D$4:$H$35,MATCH("고양시",고양시_재차인원!$B$4:$B$35,0),MATCH($DN$101,고양시_재차인원!$D$4:$H$4,0))</f>
        <v>3.4756520149674786E-2</v>
      </c>
      <c r="DO111" s="267">
        <f>INDEX($BQ$101:$CD$115,MATCH($CW111,$L$101:$L$115,0),MATCH(DO$102,$BQ$102:$CD$102,0))/INDEX(고양시_재차인원!$K$4:$O$20,MATCH("경기도",고양시_재차인원!$K$4:$K$20,0),MATCH(DO$102,고양시_재차인원!$K$4:$O$4,0))</f>
        <v>3.2343736450612909E-7</v>
      </c>
      <c r="DP111" s="267">
        <f>INDEX($BQ$101:$CD$115,MATCH($CW111,$L$101:$L$115,0),MATCH(DP$102,$BQ$102:$CD$102,0))/INDEX(고양시_재차인원!$K$4:$O$20,MATCH("경기도",고양시_재차인원!$K$4:$K$20,0),MATCH(DP$102,고양시_재차인원!$K$4:$O$4,0))</f>
        <v>8.991558733270387E-5</v>
      </c>
      <c r="DQ111" s="267">
        <f>INDEX($BQ$101:$CD$115,MATCH($CW111,$L$101:$L$115,0),MATCH(DQ$102,$BQ$102:$CD$102,0))/INDEX(고양시_재차인원!$D$4:$H$35,MATCH("고양시",고양시_재차인원!$B$4:$B$35,0),MATCH($DN$101,고양시_재차인원!$D$4:$H$4,0))</f>
        <v>2.2318666989584917E-3</v>
      </c>
      <c r="DR111" s="270">
        <f t="shared" si="53"/>
        <v>110.38926467982455</v>
      </c>
      <c r="DS111" s="270">
        <f t="shared" si="48"/>
        <v>1.1143273364965728E-3</v>
      </c>
      <c r="DT111" s="270">
        <f t="shared" si="48"/>
        <v>0.30978299954604727</v>
      </c>
      <c r="DU111" s="270">
        <f t="shared" si="48"/>
        <v>7.0885728116748901</v>
      </c>
      <c r="DW111" s="278"/>
      <c r="DX111" s="278" t="s">
        <v>303</v>
      </c>
      <c r="DY111" s="281">
        <f t="shared" si="54"/>
        <v>117.47783749149944</v>
      </c>
      <c r="DZ111" s="281">
        <f t="shared" si="55"/>
        <v>0.31089732688254385</v>
      </c>
      <c r="EB111" s="278"/>
      <c r="EC111" s="278" t="s">
        <v>303</v>
      </c>
      <c r="ED111" s="281">
        <f t="shared" si="56"/>
        <v>117.47783749149944</v>
      </c>
      <c r="EE111" s="281">
        <f t="shared" si="49"/>
        <v>0.31089732688254385</v>
      </c>
      <c r="EL111" s="306" t="s">
        <v>667</v>
      </c>
      <c r="EM111" s="306" t="s">
        <v>76</v>
      </c>
      <c r="EN111" s="306">
        <v>25868.347099999999</v>
      </c>
      <c r="EO111" s="306">
        <v>0.13929345213562067</v>
      </c>
      <c r="EP111" s="307">
        <v>849109</v>
      </c>
      <c r="EQ111" s="308">
        <f t="shared" si="57"/>
        <v>625.84479140519136</v>
      </c>
      <c r="ER111" s="308">
        <f t="shared" si="58"/>
        <v>1.6562568467887946</v>
      </c>
      <c r="ET111" s="420" t="s">
        <v>667</v>
      </c>
      <c r="EU111" s="420" t="s">
        <v>76</v>
      </c>
      <c r="EV111" s="420">
        <v>25868.347099999999</v>
      </c>
      <c r="EW111" s="420">
        <v>0.13929345213562067</v>
      </c>
      <c r="EX111" s="421">
        <v>849109</v>
      </c>
      <c r="EY111" s="422">
        <f t="shared" si="59"/>
        <v>608.00821485014342</v>
      </c>
      <c r="EZ111" s="422">
        <f t="shared" si="60"/>
        <v>1.6090535266553141</v>
      </c>
      <c r="FA111">
        <v>0</v>
      </c>
      <c r="FD111" s="306" t="s">
        <v>667</v>
      </c>
      <c r="FE111" s="306" t="s">
        <v>76</v>
      </c>
      <c r="FF111" s="306">
        <v>25868.347099999999</v>
      </c>
      <c r="FG111" s="306">
        <v>0.13929345213562067</v>
      </c>
      <c r="FH111" s="307">
        <v>849109</v>
      </c>
      <c r="FI111" s="308">
        <f t="shared" si="61"/>
        <v>608.00821485014342</v>
      </c>
      <c r="FJ111" s="308">
        <f t="shared" si="50"/>
        <v>1.6090535266553141</v>
      </c>
      <c r="FL111" s="101"/>
      <c r="FM111" s="101"/>
      <c r="FN111" s="101"/>
      <c r="FO111" s="101"/>
      <c r="FP111" s="374"/>
      <c r="FQ111" s="404"/>
      <c r="FR111" s="404"/>
    </row>
    <row r="112" spans="1:174">
      <c r="A112" s="205"/>
      <c r="B112" s="205" t="s">
        <v>304</v>
      </c>
      <c r="C112" s="400">
        <f>$AB70*KTDB_TripDistribution_2035!L$12 * (1+KTDB_발생량도착량_증가율!$C$8*2) * (1+KTDB_발생량도착량_증가율!$D$7*5) * (1+KTDB_발생량도착량_증가율!$E$7*5)</f>
        <v>3.2437669506766023</v>
      </c>
      <c r="D112" s="400">
        <f>$AB70*KTDB_TripDistribution_2035!M$12 * (1+KTDB_발생량도착량_증가율!$C$8*2) * (1+KTDB_발생량도착량_증가율!$D$7*5) * (1+KTDB_발생량도착량_증가율!$E$7*5)</f>
        <v>25.223964378099851</v>
      </c>
      <c r="E112" s="400">
        <f>$AB70*KTDB_TripDistribution_2035!N$12 * (1+KTDB_발생량도착량_증가율!$C$8*2) * (1+KTDB_발생량도착량_증가율!$D$7*5) * (1+KTDB_발생량도착량_증가율!$E$7*5)</f>
        <v>1.1180611276479198</v>
      </c>
      <c r="F112" s="400">
        <f>$AB70*KTDB_TripDistribution_2035!O$12 * (1+KTDB_발생량도착량_증가율!$C$8*2) * (1+KTDB_발생량도착량_증가율!$D$7*5) * (1+KTDB_발생량도착량_증가율!$E$7*5)</f>
        <v>3.0320301766723129E-3</v>
      </c>
      <c r="G112" s="400">
        <f>$AB70*KTDB_TripDistribution_2035!P$12 * (1+KTDB_발생량도착량_증가율!$C$8*2) * (1+KTDB_발생량도착량_증가율!$D$7*5) * (1+KTDB_발생량도착량_증가율!$E$7*5)</f>
        <v>8.5907521672382459E-3</v>
      </c>
      <c r="H112" s="400">
        <f>$AB70*KTDB_TripDistribution_2035!Q$12 * (1+KTDB_발생량도착량_증가율!$C$8*2) * (1+KTDB_발생량도착량_증가율!$D$7*5) * (1+KTDB_발생량도착량_증가율!$E$7*5)</f>
        <v>29.597415238768285</v>
      </c>
      <c r="I112" s="56"/>
      <c r="J112" s="56"/>
      <c r="K112" s="206"/>
      <c r="L112" s="206" t="s">
        <v>304</v>
      </c>
      <c r="M112" s="206">
        <f>INDEX($A$102:$H$115,MATCH($L112,$B$102:$B$115,0),MATCH($M$101,$A$102:$H$102,0))*고양시_Modal_split!C$3 * 0.01</f>
        <v>9.082547461894486E-3</v>
      </c>
      <c r="N112" s="206">
        <f>INDEX($A$102:$H$115,MATCH($L112,$B$102:$B$115,0),MATCH($M$101,$A$102:$H$102,0))*고양시_Modal_split!D$3 * 0.01</f>
        <v>1.5255435969032061</v>
      </c>
      <c r="O112" s="206">
        <f>INDEX($A$102:$H$115,MATCH($L112,$B$102:$B$115,0),MATCH($M$101,$A$102:$H$102,0))*고양시_Modal_split!E$3 * 0.01</f>
        <v>0.18457033949349863</v>
      </c>
      <c r="P112" s="206">
        <f>INDEX($A$102:$H$115,MATCH($L112,$B$102:$B$115,0),MATCH($M$101,$A$102:$H$102,0))*고양시_Modal_split!F$3 * 0.01</f>
        <v>0.29745342937704444</v>
      </c>
      <c r="Q112" s="206">
        <f>INDEX($A$102:$H$115,MATCH($L112,$B$102:$B$115,0),MATCH($M$101,$A$102:$H$102,0))*고양시_Modal_split!G$3 * 0.01</f>
        <v>2.9842655946224737E-2</v>
      </c>
      <c r="R112" s="206">
        <f>INDEX($A$102:$H$115,MATCH($L112,$B$102:$B$115,0),MATCH($M$101,$A$102:$H$102,0))*고양시_Modal_split!H$3 * 0.01</f>
        <v>3.2437669506766019E-4</v>
      </c>
      <c r="S112" s="206">
        <f>INDEX($A$102:$H$115,MATCH($L112,$B$102:$B$115,0),MATCH($M$101,$A$102:$H$102,0))*고양시_Modal_split!I$3 * 0.01</f>
        <v>9.0176721228809542E-2</v>
      </c>
      <c r="T112" s="206">
        <f>INDEX($A$102:$H$115,MATCH($L112,$B$102:$B$115,0),MATCH($M$101,$A$102:$H$102,0))*고양시_Modal_split!J$3 * 0.01</f>
        <v>0.98740265978595776</v>
      </c>
      <c r="U112" s="206">
        <f>INDEX($A$102:$H$115,MATCH($L112,$B$102:$B$115,0),MATCH($M$101,$A$102:$H$102,0))*고양시_Modal_split!K$3 * 0.01</f>
        <v>4.8656504260149031E-3</v>
      </c>
      <c r="V112" s="206">
        <f>INDEX($A$102:$H$115,MATCH($L112,$B$102:$B$115,0),MATCH($M$101,$A$102:$H$102,0))*고양시_Modal_split!L$3 * 0.01</f>
        <v>9.796176191043339E-2</v>
      </c>
      <c r="W112" s="206">
        <f>INDEX($A$102:$H$115,MATCH($L112,$B$102:$B$115,0),MATCH($M$101,$A$102:$H$102,0))*고양시_Modal_split!M$3 * 0.01</f>
        <v>7.4606639865561842E-3</v>
      </c>
      <c r="X112" s="206">
        <f>INDEX($A$102:$H$115,MATCH($L112,$B$102:$B$115,0),MATCH($M$101,$A$102:$H$102,0))*고양시_Modal_split!N$3 * 0.01</f>
        <v>3.2437669506766025E-3</v>
      </c>
      <c r="Y112" s="206">
        <f>INDEX($A$102:$H$115,MATCH($L112,$B$102:$B$115,0),MATCH($M$101,$A$102:$H$102,0))*고양시_Modal_split!O$3 * 0.01</f>
        <v>5.838780511217884E-3</v>
      </c>
      <c r="Z112" s="209">
        <f>INDEX($A$102:$H$115,MATCH($L112,$B$102:$B$115,0),MATCH($M$101,$A$102:$H$102,0))*고양시_Modal_split!P$3 * 0.01</f>
        <v>3.2437669506766027</v>
      </c>
      <c r="AA112" s="207">
        <f>INDEX($A$102:$H$115,MATCH($L112,$B$102:$B$115,0),MATCH($AA$101,$A$102:$H$102,0))*고양시_Modal_split!C$3 * 0.01</f>
        <v>7.0627100258679576E-2</v>
      </c>
      <c r="AB112" s="207">
        <f>INDEX($A$102:$H$115,MATCH($L112,$B$102:$B$115,0),MATCH($AA$101,$A$102:$H$102,0))*고양시_Modal_split!D$3 * 0.01</f>
        <v>11.862830447020361</v>
      </c>
      <c r="AC112" s="207">
        <f>INDEX($A$102:$H$115,MATCH($L112,$B$102:$B$115,0),MATCH($AA$101,$A$102:$H$102,0))*고양시_Modal_split!E$3 * 0.01</f>
        <v>1.4352435731138815</v>
      </c>
      <c r="AD112" s="207">
        <f>INDEX($A$102:$H$115,MATCH($L112,$B$102:$B$115,0),MATCH($AA$101,$A$102:$H$102,0))*고양시_Modal_split!F$3 * 0.01</f>
        <v>2.3130375334717561</v>
      </c>
      <c r="AE112" s="207">
        <f>INDEX($A$102:$H$115,MATCH($L112,$B$102:$B$115,0),MATCH($AA$101,$A$102:$H$102,0))*고양시_Modal_split!G$3 * 0.01</f>
        <v>0.23206047227851861</v>
      </c>
      <c r="AF112" s="207">
        <f>INDEX($A$102:$H$115,MATCH($L112,$B$102:$B$115,0),MATCH($AA$101,$A$102:$H$102,0))*고양시_Modal_split!H$3 * 0.01</f>
        <v>2.522396437809985E-3</v>
      </c>
      <c r="AG112" s="207">
        <f>INDEX($A$102:$H$115,MATCH($L112,$B$102:$B$115,0),MATCH($AA$101,$A$102:$H$102,0))*고양시_Modal_split!I$3 * 0.01</f>
        <v>0.70122620971117589</v>
      </c>
      <c r="AH112" s="207">
        <f>INDEX($A$102:$H$115,MATCH($L112,$B$102:$B$115,0),MATCH($AA$101,$A$102:$H$102,0))*고양시_Modal_split!J$3 * 0.01</f>
        <v>7.6781747566935952</v>
      </c>
      <c r="AI112" s="207">
        <f>INDEX($A$102:$H$115,MATCH($L112,$B$102:$B$115,0),MATCH($AA$101,$A$102:$H$102,0))*고양시_Modal_split!K$3 * 0.01</f>
        <v>3.7835946567149774E-2</v>
      </c>
      <c r="AJ112" s="207">
        <f>INDEX($A$102:$H$115,MATCH($L112,$B$102:$B$115,0),MATCH($AA$101,$A$102:$H$102,0))*고양시_Modal_split!L$3 * 0.01</f>
        <v>0.76176372421861549</v>
      </c>
      <c r="AK112" s="207">
        <f>INDEX($A$102:$H$115,MATCH($L112,$B$102:$B$115,0),MATCH($AA$101,$A$102:$H$102,0))*고양시_Modal_split!M$3 * 0.01</f>
        <v>5.8015118069629654E-2</v>
      </c>
      <c r="AL112" s="207">
        <f>INDEX($A$102:$H$115,MATCH($L112,$B$102:$B$115,0),MATCH($AA$101,$A$102:$H$102,0))*고양시_Modal_split!N$3 * 0.01</f>
        <v>2.5223964378099852E-2</v>
      </c>
      <c r="AM112" s="207">
        <f>INDEX($A$102:$H$115,MATCH($L112,$B$102:$B$115,0),MATCH($AA$101,$A$102:$H$102,0))*고양시_Modal_split!O$3 * 0.01</f>
        <v>4.5403135880579731E-2</v>
      </c>
      <c r="AN112" s="207">
        <f>INDEX($A$102:$H$115,MATCH($L112,$B$102:$B$115,0),MATCH($AA$101,$A$102:$H$102,0))*고양시_Modal_split!P$3 * 0.01</f>
        <v>25.223964378099851</v>
      </c>
      <c r="AO112" s="303">
        <f>INDEX($A$102:$H$115,MATCH($L112,$B$102:$B$115,0),MATCH($AO$101,$A$102:$H$102,0))*고양시_Modal_split!C$3 * 0.01</f>
        <v>3.130571157414175E-3</v>
      </c>
      <c r="AP112" s="303">
        <f>INDEX($A$102:$H$115,MATCH($L112,$B$102:$B$115,0),MATCH($AO$101,$A$102:$H$102,0))*고양시_Modal_split!D$3 * 0.01</f>
        <v>0.52582414833281665</v>
      </c>
      <c r="AQ112" s="303">
        <f>INDEX($A$102:$H$115,MATCH($L112,$B$102:$B$115,0),MATCH($AO$101,$A$102:$H$102,0))*고양시_Modal_split!E$3 * 0.01</f>
        <v>6.361767816316663E-2</v>
      </c>
      <c r="AR112" s="303">
        <f>INDEX($A$102:$H$115,MATCH($L112,$B$102:$B$115,0),MATCH($AO$101,$A$102:$H$102,0))*고양시_Modal_split!F$3 * 0.01</f>
        <v>0.10252620540531425</v>
      </c>
      <c r="AS112" s="303">
        <f>INDEX($A$102:$H$115,MATCH($L112,$B$102:$B$115,0),MATCH($AO$101,$A$102:$H$102,0))*고양시_Modal_split!G$3 * 0.01</f>
        <v>1.0286162374360861E-2</v>
      </c>
      <c r="AT112" s="303">
        <f>INDEX($A$102:$H$115,MATCH($L112,$B$102:$B$115,0),MATCH($AO$101,$A$102:$H$102,0))*고양시_Modal_split!H$3 * 0.01</f>
        <v>1.1180611276479198E-4</v>
      </c>
      <c r="AU112" s="303">
        <f>INDEX($A$102:$H$115,MATCH($L112,$B$102:$B$115,0),MATCH($AO$101,$A$102:$H$102,0))*고양시_Modal_split!I$3 * 0.01</f>
        <v>3.1082099348612169E-2</v>
      </c>
      <c r="AV112" s="303">
        <f>INDEX($A$102:$H$115,MATCH($L112,$B$102:$B$115,0),MATCH($AO$101,$A$102:$H$102,0))*고양시_Modal_split!J$3 * 0.01</f>
        <v>0.3403378072560268</v>
      </c>
      <c r="AW112" s="303">
        <f>INDEX($A$102:$H$115,MATCH($L112,$B$102:$B$115,0),MATCH($AO$101,$A$102:$H$102,0))*고양시_Modal_split!K$3 * 0.01</f>
        <v>1.6770916914718794E-3</v>
      </c>
      <c r="AX112" s="303">
        <f>INDEX($A$102:$H$115,MATCH($L112,$B$102:$B$115,0),MATCH($AO$101,$A$102:$H$102,0))*고양시_Modal_split!L$3 * 0.01</f>
        <v>3.3765446054967174E-2</v>
      </c>
      <c r="AY112" s="303">
        <f>INDEX($A$102:$H$115,MATCH($L112,$B$102:$B$115,0),MATCH($AO$101,$A$102:$H$102,0))*고양시_Modal_split!M$3 * 0.01</f>
        <v>2.5715405935902154E-3</v>
      </c>
      <c r="AZ112" s="303">
        <f>INDEX($A$102:$H$115,MATCH($L112,$B$102:$B$115,0),MATCH($AO$101,$A$102:$H$102,0))*고양시_Modal_split!N$3 * 0.01</f>
        <v>1.1180611276479198E-3</v>
      </c>
      <c r="BA112" s="207">
        <f>INDEX($A$102:$H$115,MATCH($L112,$B$102:$B$115,0),MATCH($AO$101,$A$102:$H$102,0))*고양시_Modal_split!O$3 * 0.01</f>
        <v>2.0125100297662553E-3</v>
      </c>
      <c r="BB112" s="207">
        <f>INDEX($A$102:$H$115,MATCH($L112,$B$102:$B$115,0),MATCH($AO$101,$A$102:$H$102,0))*고양시_Modal_split!P$3 * 0.01</f>
        <v>1.1180611276479198</v>
      </c>
      <c r="BC112" s="207">
        <f>INDEX($A$102:$H$115,MATCH($L112,$B$102:$B$115,0),MATCH($BC$101,$A$102:$H$102,0))*고양시_Modal_split!C$3 * 0.01</f>
        <v>8.4896844946824749E-6</v>
      </c>
      <c r="BD112" s="207">
        <f>INDEX($A$102:$H$115,MATCH($L112,$B$102:$B$115,0),MATCH($BC$101,$A$102:$H$102,0))*고양시_Modal_split!D$3 * 0.01</f>
        <v>1.4259637920889887E-3</v>
      </c>
      <c r="BE112" s="207">
        <f>INDEX($A$102:$H$115,MATCH($L112,$B$102:$B$115,0),MATCH($BC$101,$A$102:$H$102,0))*고양시_Modal_split!E$3 * 0.01</f>
        <v>1.7252251705265461E-4</v>
      </c>
      <c r="BF112" s="207">
        <f>INDEX($A$102:$H$115,MATCH($L112,$B$102:$B$115,0),MATCH($BC$101,$A$102:$H$102,0))*고양시_Modal_split!F$3 * 0.01</f>
        <v>2.7803716720085111E-4</v>
      </c>
      <c r="BG112" s="207">
        <f>INDEX($A$102:$H$115,MATCH($L112,$B$102:$B$115,0),MATCH($BC$101,$A$102:$H$102,0))*고양시_Modal_split!G$3 * 0.01</f>
        <v>2.7894677625385275E-5</v>
      </c>
      <c r="BH112" s="207">
        <f>INDEX($A$102:$H$115,MATCH($L112,$B$102:$B$115,0),MATCH($BC$101,$A$102:$H$102,0))*고양시_Modal_split!H$3 * 0.01</f>
        <v>3.0320301766723131E-7</v>
      </c>
      <c r="BI112" s="207">
        <f>INDEX($A$102:$H$115,MATCH($L112,$B$102:$B$115,0),MATCH($BC$101,$A$102:$H$102,0))*고양시_Modal_split!I$3 * 0.01</f>
        <v>8.429043891149029E-5</v>
      </c>
      <c r="BJ112" s="207">
        <f>INDEX($A$102:$H$115,MATCH($L112,$B$102:$B$115,0),MATCH($BC$101,$A$102:$H$102,0))*고양시_Modal_split!J$3 * 0.01</f>
        <v>9.2294998577905219E-4</v>
      </c>
      <c r="BK112" s="207">
        <f>INDEX($A$102:$H$115,MATCH($L112,$B$102:$B$115,0),MATCH($BC$101,$A$102:$H$102,0))*고양시_Modal_split!K$3 * 0.01</f>
        <v>4.5480452650084692E-6</v>
      </c>
      <c r="BL112" s="207">
        <f>INDEX($A$102:$H$115,MATCH($L112,$B$102:$B$115,0),MATCH($BC$101,$A$102:$H$102,0))*고양시_Modal_split!L$3 * 0.01</f>
        <v>9.1567311335503859E-5</v>
      </c>
      <c r="BM112" s="207">
        <f>INDEX($A$102:$H$115,MATCH($L112,$B$102:$B$115,0),MATCH($BC$101,$A$102:$H$102,0))*고양시_Modal_split!M$3 * 0.01</f>
        <v>6.9736694063463188E-6</v>
      </c>
      <c r="BN112" s="207">
        <f>INDEX($A$102:$H$115,MATCH($L112,$B$102:$B$115,0),MATCH($BC$101,$A$102:$H$102,0))*고양시_Modal_split!N$3 * 0.01</f>
        <v>3.0320301766723135E-6</v>
      </c>
      <c r="BO112" s="207">
        <f>INDEX($A$102:$H$115,MATCH($L112,$B$102:$B$115,0),MATCH($BC$101,$A$102:$H$102,0))*고양시_Modal_split!O$3 * 0.01</f>
        <v>5.4576543180101635E-6</v>
      </c>
      <c r="BP112" s="207">
        <f>INDEX($A$102:$H$115,MATCH($L112,$B$102:$B$115,0),MATCH($BC$101,$A$102:$H$102,0))*고양시_Modal_split!P$3 * 0.01</f>
        <v>3.0320301766723129E-3</v>
      </c>
      <c r="BQ112" s="207">
        <f>INDEX($A$102:$H$115,MATCH($L112,$B$102:$B$115,0),MATCH($BQ$101,$A$102:$H$102,0))*고양시_Modal_split!C$3 * 0.01</f>
        <v>2.4054106068267085E-5</v>
      </c>
      <c r="BR112" s="207">
        <f>INDEX($A$102:$H$115,MATCH($L112,$B$102:$B$115,0),MATCH($BQ$101,$A$102:$H$102,0))*고양시_Modal_split!D$3 * 0.01</f>
        <v>4.0402307442521474E-3</v>
      </c>
      <c r="BS112" s="207">
        <f>INDEX($A$102:$H$115,MATCH($L112,$B$102:$B$115,0),MATCH($BQ$101,$A$102:$H$102,0))*고양시_Modal_split!E$3 * 0.01</f>
        <v>4.8881379831585618E-4</v>
      </c>
      <c r="BT112" s="207">
        <f>INDEX($A$102:$H$115,MATCH($L112,$B$102:$B$115,0),MATCH($BQ$101,$A$102:$H$102,0))*고양시_Modal_split!F$3 * 0.01</f>
        <v>7.8777197373574724E-4</v>
      </c>
      <c r="BU112" s="207">
        <f>INDEX($A$102:$H$115,MATCH($L112,$B$102:$B$115,0),MATCH($BQ$101,$A$102:$H$102,0))*고양시_Modal_split!G$3 * 0.01</f>
        <v>7.9034919938591859E-5</v>
      </c>
      <c r="BV112" s="207">
        <f>INDEX($A$102:$H$115,MATCH($L112,$B$102:$B$115,0),MATCH($BQ$101,$A$102:$H$102,0))*고양시_Modal_split!H$3 * 0.01</f>
        <v>8.5907521672382464E-7</v>
      </c>
      <c r="BW112" s="207">
        <f>INDEX($A$102:$H$115,MATCH($L112,$B$102:$B$115,0),MATCH($BQ$101,$A$102:$H$102,0))*고양시_Modal_split!I$3 * 0.01</f>
        <v>2.3882291024922322E-4</v>
      </c>
      <c r="BX112" s="207">
        <f>INDEX($A$102:$H$115,MATCH($L112,$B$102:$B$115,0),MATCH($BQ$101,$A$102:$H$102,0))*고양시_Modal_split!J$3 * 0.01</f>
        <v>2.6150249597073224E-3</v>
      </c>
      <c r="BY112" s="207">
        <f>INDEX($A$102:$H$115,MATCH($L112,$B$102:$B$115,0),MATCH($BQ$101,$A$102:$H$102,0))*고양시_Modal_split!K$3 * 0.01</f>
        <v>1.2886128250857369E-5</v>
      </c>
      <c r="BZ112" s="207">
        <f>INDEX($A$102:$H$115,MATCH($L112,$B$102:$B$115,0),MATCH($BQ$101,$A$102:$H$102,0))*고양시_Modal_split!L$3 * 0.01</f>
        <v>2.5944071545059503E-4</v>
      </c>
      <c r="CA112" s="207">
        <f>INDEX($A$102:$H$115,MATCH($L112,$B$102:$B$115,0),MATCH($BQ$101,$A$102:$H$102,0))*고양시_Modal_split!M$3 * 0.01</f>
        <v>1.9758729984647965E-5</v>
      </c>
      <c r="CB112" s="207">
        <f>INDEX($A$102:$H$115,MATCH($L112,$B$102:$B$115,0),MATCH($BQ$101,$A$102:$H$102,0))*고양시_Modal_split!N$3 * 0.01</f>
        <v>8.5907521672382456E-6</v>
      </c>
      <c r="CC112" s="207">
        <f>INDEX($A$102:$H$115,MATCH($L112,$B$102:$B$115,0),MATCH($BQ$101,$A$102:$H$102,0))*고양시_Modal_split!O$3 * 0.01</f>
        <v>1.5463353901028844E-5</v>
      </c>
      <c r="CD112" s="207">
        <f>INDEX($A$102:$H$115,MATCH($L112,$B$102:$B$115,0),MATCH($BQ$101,$A$102:$H$102,0))*고양시_Modal_split!P$3 * 0.01</f>
        <v>8.5907521672382459E-3</v>
      </c>
      <c r="CE112" s="304">
        <f t="shared" si="51"/>
        <v>8.2872762668551189E-2</v>
      </c>
      <c r="CF112" s="304">
        <f t="shared" si="47"/>
        <v>13.919664386792725</v>
      </c>
      <c r="CG112" s="304">
        <f t="shared" si="47"/>
        <v>1.6840929270859151</v>
      </c>
      <c r="CH112" s="304">
        <f t="shared" si="47"/>
        <v>2.7140829773950514</v>
      </c>
      <c r="CI112" s="304">
        <f t="shared" si="47"/>
        <v>0.27229622019666821</v>
      </c>
      <c r="CJ112" s="304">
        <f t="shared" si="47"/>
        <v>2.9597415238768279E-3</v>
      </c>
      <c r="CK112" s="304">
        <f t="shared" si="47"/>
        <v>0.82280814363775834</v>
      </c>
      <c r="CL112" s="304">
        <f t="shared" si="47"/>
        <v>9.0094531986810686</v>
      </c>
      <c r="CM112" s="304">
        <f t="shared" si="47"/>
        <v>4.439612285815242E-2</v>
      </c>
      <c r="CN112" s="304">
        <f t="shared" si="47"/>
        <v>0.89384194021080221</v>
      </c>
      <c r="CO112" s="304">
        <f t="shared" si="47"/>
        <v>6.8074055049167054E-2</v>
      </c>
      <c r="CP112" s="304">
        <f t="shared" si="47"/>
        <v>2.9597415238768285E-2</v>
      </c>
      <c r="CQ112" s="304">
        <f t="shared" si="47"/>
        <v>5.3275347429782904E-2</v>
      </c>
      <c r="CR112" s="304">
        <f t="shared" si="47"/>
        <v>29.597415238768281</v>
      </c>
      <c r="CS112" s="305">
        <f t="shared" si="52"/>
        <v>0</v>
      </c>
      <c r="CV112" s="267"/>
      <c r="CW112" s="267" t="s">
        <v>304</v>
      </c>
      <c r="CX112" s="267">
        <f>INDEX($M$101:$Z$115,MATCH($CW112,$L$101:$L$115,0),MATCH(CX$102,$M$102:$Z$102,0))/INDEX(고양시_재차인원!$D$4:$H$35,MATCH("고양시",고양시_재차인원!$B$4:$B$35,0),MATCH($CX$101,고양시_재차인원!$D$4:$H$4,0))</f>
        <v>1.3620924972350053</v>
      </c>
      <c r="CY112" s="267">
        <f>INDEX($M$101:$Z$115,MATCH($CW112,$L$101:$L$115,0),MATCH(CY$102,$M$102:$Z$102,0))/INDEX(고양시_재차인원!$K$4:$O$20,MATCH("경기도",고양시_재차인원!$K$4:$K$20,0),MATCH(CY$102,고양시_재차인원!$K$4:$O$4,0))</f>
        <v>1.1266991839793685E-5</v>
      </c>
      <c r="CZ112" s="267">
        <f>INDEX($M$101:$Z$115,MATCH($CW112,$L$101:$L$115,0),MATCH(CZ$102,$M$102:$Z$102,0))/INDEX(고양시_재차인원!$K$4:$O$20,MATCH("경기도",고양시_재차인원!$K$4:$K$20,0),MATCH(CZ$102,고양시_재차인원!$K$4:$O$4,0))</f>
        <v>3.1322237314626447E-3</v>
      </c>
      <c r="DA112" s="267">
        <f>INDEX($M$101:$Z$115,MATCH($CW112,$L$101:$L$115,0),MATCH(DA$102,$M$102:$Z$102,0))/INDEX(고양시_재차인원!$D$4:$H$35,MATCH("고양시",고양시_재차인원!$B$4:$B$35,0),MATCH($CX$101,고양시_재차인원!$D$4:$H$4,0))</f>
        <v>8.7465858848601238E-2</v>
      </c>
      <c r="DB112" s="267">
        <f>INDEX($AA$101:$AN$115,MATCH($CW112,$L$101:$L$115,0),MATCH(DB$102,$AA$102:$AN$102,0))/INDEX(고양시_재차인원!$D$4:$H$35,MATCH("고양시",고양시_재차인원!$B$4:$B$35,0),MATCH($DB$101,고양시_재차인원!$D$4:$H$4,0))</f>
        <v>8.4133549269647947</v>
      </c>
      <c r="DC112" s="267">
        <f>INDEX($AA$101:$AN$115,MATCH($CW112,$L$101:$L$115,0),MATCH(DC$102,$AA$102:$AN$102,0))/INDEX(고양시_재차인원!$K$4:$O$20,MATCH("경기도",고양시_재차인원!$K$4:$K$20,0),MATCH(DC$102,고양시_재차인원!$K$4:$O$4,0))</f>
        <v>8.761363104584873E-5</v>
      </c>
      <c r="DD112" s="267">
        <f>INDEX($AA$101:$AN$115,MATCH($CW112,$L$101:$L$115,0),MATCH(DD$102,$AA$102:$AN$102,0))/INDEX(고양시_재차인원!$K$4:$O$20,MATCH("경기도",고양시_재차인원!$K$4:$K$20,0),MATCH(DD$102,고양시_재차인원!$K$4:$O$4,0))</f>
        <v>2.4356589430745951E-2</v>
      </c>
      <c r="DE112" s="267">
        <f>INDEX($AA$101:$AN$115,MATCH($CW112,$L$101:$L$115,0),MATCH(DE$102,$AA$102:$AN$102,0))/INDEX(고양시_재차인원!$D$4:$H$35,MATCH("고양시",고양시_재차인원!$B$4:$B$35,0),MATCH($DB$101,고양시_재차인원!$D$4:$H$4,0))</f>
        <v>0.54025796043873442</v>
      </c>
      <c r="DF112" s="267">
        <f>INDEX($AO$101:$BB$115,MATCH($CW112,$L$101:$L$115,0),MATCH(DF$102,$AO$102:$BB$102,0))/INDEX(고양시_재차인원!$D$4:$H$35,MATCH("고양시",고양시_재차인원!$B$4:$B$35,0),MATCH($DF$101,고양시_재차인원!$D$4:$H$4,0))</f>
        <v>0.40448011410216667</v>
      </c>
      <c r="DG112" s="267">
        <f>INDEX($AO$101:$BB$115,MATCH($CW112,$L$101:$L$115,0),MATCH(DG$102,$AO$102:$BB$102,0))/INDEX(고양시_재차인원!$K$4:$O$20,MATCH("경기도",고양시_재차인원!$K$4:$K$20,0),MATCH(DG$102,고양시_재차인원!$K$4:$O$4,0))</f>
        <v>3.8835051325040631E-6</v>
      </c>
      <c r="DH112" s="267">
        <f>INDEX($AO$101:$BB$115,MATCH($CW112,$L$101:$L$115,0),MATCH(DH$102,$AO$102:$BB$102,0))/INDEX(고양시_재차인원!$K$4:$O$20,MATCH("경기도",고양시_재차인원!$K$4:$K$20,0),MATCH(DH$102,고양시_재차인원!$K$4:$O$4,0))</f>
        <v>1.0796144268361296E-3</v>
      </c>
      <c r="DI112" s="267">
        <f>INDEX($AO$101:$BB$115,MATCH($CW112,$L$101:$L$115,0),MATCH(DI$102,$AO$102:$BB$102,0))/INDEX(고양시_재차인원!$D$4:$H$35,MATCH("고양시",고양시_재차인원!$B$4:$B$35,0),MATCH($DF$101,고양시_재차인원!$D$4:$H$4,0))</f>
        <v>2.5973420042282442E-2</v>
      </c>
      <c r="DJ112" s="267">
        <f>INDEX($BC$101:$BP$115,MATCH($CW112,$L$101:$L$115,0),MATCH(DJ$102,$BC$102:$BP$102,0))/INDEX(고양시_재차인원!$D$4:$H$35,MATCH("고양시",고양시_재차인원!$B$4:$B$35,0),MATCH($DJ$101,고양시_재차인원!$D$4:$H$4,0))</f>
        <v>1.048502788300727E-3</v>
      </c>
      <c r="DK112" s="267">
        <f>INDEX($BC$101:$BP$115,MATCH($CW112,$L$101:$L$115,0),MATCH(DK$102,$BC$102:$BP$102,0))/INDEX(고양시_재차인원!$K$4:$O$20,MATCH("경기도",고양시_재차인원!$K$4:$K$20,0),MATCH(DK$102,고양시_재차인원!$K$4:$O$4,0))</f>
        <v>1.0531539342383859E-8</v>
      </c>
      <c r="DL112" s="267">
        <f>INDEX($BC$101:$BP$115,MATCH($CW112,$L$101:$L$115,0),MATCH(DL$102,$BC$102:$BP$102,0))/INDEX(고양시_재차인원!$K$4:$O$20,MATCH("경기도",고양시_재차인원!$K$4:$K$20,0),MATCH(DL$102,고양시_재차인원!$K$4:$O$4,0))</f>
        <v>2.9277679371827124E-6</v>
      </c>
      <c r="DM112" s="267">
        <f>INDEX($BC$101:$BP$115,MATCH($CW112,$L$101:$L$115,0),MATCH(DM$102,$BC$102:$BP$102,0))/INDEX(고양시_재차인원!$D$4:$H$35,MATCH("고양시",고양시_재차인원!$B$4:$B$35,0),MATCH($DJ$101,고양시_재차인원!$D$4:$H$4,0))</f>
        <v>6.7328905393752826E-5</v>
      </c>
      <c r="DN112" s="267">
        <f>INDEX($BQ$101:$CD$115,MATCH($CW112,$L$101:$L$115,0),MATCH(DN$102,$BQ$102:$CD$102,0))/INDEX(고양시_재차인원!$D$4:$H$35,MATCH("고양시",고양시_재차인원!$B$4:$B$35,0),MATCH($DN$101,고양시_재차인원!$D$4:$H$4,0))</f>
        <v>3.2065323367080536E-3</v>
      </c>
      <c r="DO112" s="267">
        <f>INDEX($BQ$101:$CD$115,MATCH($CW112,$L$101:$L$115,0),MATCH(DO$102,$BQ$102:$CD$102,0))/INDEX(고양시_재차인원!$K$4:$O$20,MATCH("경기도",고양시_재차인원!$K$4:$K$20,0),MATCH(DO$102,고양시_재차인원!$K$4:$O$4,0))</f>
        <v>2.9839361470087694E-8</v>
      </c>
      <c r="DP112" s="267">
        <f>INDEX($BQ$101:$CD$115,MATCH($CW112,$L$101:$L$115,0),MATCH(DP$102,$BQ$102:$CD$102,0))/INDEX(고양시_재차인원!$K$4:$O$20,MATCH("경기도",고양시_재차인원!$K$4:$K$20,0),MATCH(DP$102,고양시_재차인원!$K$4:$O$4,0))</f>
        <v>8.295342488684378E-6</v>
      </c>
      <c r="DQ112" s="267">
        <f>INDEX($BQ$101:$CD$115,MATCH($CW112,$L$101:$L$115,0),MATCH(DQ$102,$BQ$102:$CD$102,0))/INDEX(고양시_재차인원!$D$4:$H$35,MATCH("고양시",고양시_재차인원!$B$4:$B$35,0),MATCH($DN$101,고양시_재차인원!$D$4:$H$4,0))</f>
        <v>2.0590532972269448E-4</v>
      </c>
      <c r="DR112" s="270">
        <f t="shared" si="53"/>
        <v>10.184182573426977</v>
      </c>
      <c r="DS112" s="270">
        <f t="shared" si="48"/>
        <v>1.0280449891895895E-4</v>
      </c>
      <c r="DT112" s="270">
        <f t="shared" si="48"/>
        <v>2.8579650699470591E-2</v>
      </c>
      <c r="DU112" s="270">
        <f t="shared" si="48"/>
        <v>0.65397047356473448</v>
      </c>
      <c r="DW112" s="278"/>
      <c r="DX112" s="278" t="s">
        <v>304</v>
      </c>
      <c r="DY112" s="281">
        <f t="shared" si="54"/>
        <v>10.838153046991712</v>
      </c>
      <c r="DZ112" s="281">
        <f t="shared" si="55"/>
        <v>2.868245519838955E-2</v>
      </c>
      <c r="EB112" s="278"/>
      <c r="EC112" s="278" t="s">
        <v>304</v>
      </c>
      <c r="ED112" s="281">
        <f t="shared" si="56"/>
        <v>10.838153046991712</v>
      </c>
      <c r="EE112" s="281">
        <f t="shared" si="49"/>
        <v>2.868245519838955E-2</v>
      </c>
      <c r="EL112" s="306" t="s">
        <v>667</v>
      </c>
      <c r="EM112" s="306" t="s">
        <v>220</v>
      </c>
      <c r="EN112" s="306">
        <v>51875.97</v>
      </c>
      <c r="EO112" s="306">
        <v>0.27933686355182291</v>
      </c>
      <c r="EP112" s="307">
        <v>849110</v>
      </c>
      <c r="EQ112" s="308">
        <f t="shared" si="57"/>
        <v>1255.059146148227</v>
      </c>
      <c r="ER112" s="308">
        <f t="shared" si="58"/>
        <v>3.321431020086711</v>
      </c>
      <c r="ET112" s="420" t="s">
        <v>667</v>
      </c>
      <c r="EU112" s="420" t="s">
        <v>220</v>
      </c>
      <c r="EV112" s="420">
        <v>51875.97</v>
      </c>
      <c r="EW112" s="420">
        <v>0.27933686355182291</v>
      </c>
      <c r="EX112" s="421">
        <v>849110</v>
      </c>
      <c r="EY112" s="422">
        <f t="shared" si="59"/>
        <v>1219.2899604830025</v>
      </c>
      <c r="EZ112" s="422">
        <f t="shared" si="60"/>
        <v>3.2267702360142398</v>
      </c>
      <c r="FA112">
        <v>0</v>
      </c>
      <c r="FD112" s="306" t="s">
        <v>667</v>
      </c>
      <c r="FE112" s="306" t="s">
        <v>220</v>
      </c>
      <c r="FF112" s="306">
        <v>51875.97</v>
      </c>
      <c r="FG112" s="306">
        <v>0.27933686355182291</v>
      </c>
      <c r="FH112" s="307">
        <v>849110</v>
      </c>
      <c r="FI112" s="308">
        <f t="shared" si="61"/>
        <v>1219.2899604830025</v>
      </c>
      <c r="FJ112" s="308">
        <f t="shared" si="50"/>
        <v>3.2267702360142398</v>
      </c>
      <c r="FL112" s="101"/>
      <c r="FM112" s="101"/>
      <c r="FN112" s="101"/>
      <c r="FO112" s="101"/>
      <c r="FP112" s="374"/>
      <c r="FQ112" s="404"/>
      <c r="FR112" s="404"/>
    </row>
    <row r="113" spans="1:174" ht="25">
      <c r="A113" s="205"/>
      <c r="B113" s="205" t="s">
        <v>305</v>
      </c>
      <c r="C113" s="400">
        <f>$AB71*KTDB_TripDistribution_2035!L$12 * (1+KTDB_발생량도착량_증가율!$C$8*2) * (1+KTDB_발생량도착량_증가율!$D$7*5) * (1+KTDB_발생량도착량_증가율!$E$7*5)</f>
        <v>10.020922901197361</v>
      </c>
      <c r="D113" s="400">
        <f>$AB71*KTDB_TripDistribution_2035!M$12 * (1+KTDB_발생량도착량_증가율!$C$8*2) * (1+KTDB_발생량도착량_증가율!$D$7*5) * (1+KTDB_발생량도착량_증가율!$E$7*5)</f>
        <v>77.924032810915605</v>
      </c>
      <c r="E113" s="400">
        <f>$AB71*KTDB_TripDistribution_2035!N$12 * (1+KTDB_발생량도착량_증가율!$C$8*2) * (1+KTDB_발생량도착량_증가율!$D$7*5) * (1+KTDB_발생량도착량_증가율!$E$7*5)</f>
        <v>3.4540102693408943</v>
      </c>
      <c r="F113" s="400">
        <f>$AB71*KTDB_TripDistribution_2035!O$12 * (1+KTDB_발생량도착량_증가율!$C$8*2) * (1+KTDB_발생량도착량_증가율!$D$7*5) * (1+KTDB_발생량도착량_증가율!$E$7*5)</f>
        <v>9.3668075100769663E-3</v>
      </c>
      <c r="G113" s="400">
        <f>$AB71*KTDB_TripDistribution_2035!P$12 * (1+KTDB_발생량도착량_증가율!$C$8*2) * (1+KTDB_발생량도착량_증가율!$D$7*5) * (1+KTDB_발생량도착량_증가율!$E$7*5)</f>
        <v>2.6539287945218155E-2</v>
      </c>
      <c r="H113" s="400">
        <f>$AB71*KTDB_TripDistribution_2035!Q$12 * (1+KTDB_발생량도착량_증가율!$C$8*2) * (1+KTDB_발생량도착량_증가율!$D$7*5) * (1+KTDB_발생량도착량_증가율!$E$7*5)</f>
        <v>91.434872076909173</v>
      </c>
      <c r="I113" s="56"/>
      <c r="J113" s="56"/>
      <c r="K113" s="206"/>
      <c r="L113" s="206" t="s">
        <v>305</v>
      </c>
      <c r="M113" s="206">
        <f>INDEX($A$102:$H$115,MATCH($L113,$B$102:$B$115,0),MATCH($M$101,$A$102:$H$102,0))*고양시_Modal_split!C$3 * 0.01</f>
        <v>2.8058584123352607E-2</v>
      </c>
      <c r="N113" s="206">
        <f>INDEX($A$102:$H$115,MATCH($L113,$B$102:$B$115,0),MATCH($M$101,$A$102:$H$102,0))*고양시_Modal_split!D$3 * 0.01</f>
        <v>4.712840040433119</v>
      </c>
      <c r="O113" s="206">
        <f>INDEX($A$102:$H$115,MATCH($L113,$B$102:$B$115,0),MATCH($M$101,$A$102:$H$102,0))*고양시_Modal_split!E$3 * 0.01</f>
        <v>0.57019051307812985</v>
      </c>
      <c r="P113" s="206">
        <f>INDEX($A$102:$H$115,MATCH($L113,$B$102:$B$115,0),MATCH($M$101,$A$102:$H$102,0))*고양시_Modal_split!F$3 * 0.01</f>
        <v>0.9189186300397979</v>
      </c>
      <c r="Q113" s="206">
        <f>INDEX($A$102:$H$115,MATCH($L113,$B$102:$B$115,0),MATCH($M$101,$A$102:$H$102,0))*고양시_Modal_split!G$3 * 0.01</f>
        <v>9.2192490691015719E-2</v>
      </c>
      <c r="R113" s="206">
        <f>INDEX($A$102:$H$115,MATCH($L113,$B$102:$B$115,0),MATCH($M$101,$A$102:$H$102,0))*고양시_Modal_split!H$3 * 0.01</f>
        <v>1.0020922901197362E-3</v>
      </c>
      <c r="S113" s="206">
        <f>INDEX($A$102:$H$115,MATCH($L113,$B$102:$B$115,0),MATCH($M$101,$A$102:$H$102,0))*고양시_Modal_split!I$3 * 0.01</f>
        <v>0.27858165665328666</v>
      </c>
      <c r="T113" s="206">
        <f>INDEX($A$102:$H$115,MATCH($L113,$B$102:$B$115,0),MATCH($M$101,$A$102:$H$102,0))*고양시_Modal_split!J$3 * 0.01</f>
        <v>3.0503689311244768</v>
      </c>
      <c r="U113" s="206">
        <f>INDEX($A$102:$H$115,MATCH($L113,$B$102:$B$115,0),MATCH($M$101,$A$102:$H$102,0))*고양시_Modal_split!K$3 * 0.01</f>
        <v>1.503138435179604E-2</v>
      </c>
      <c r="V113" s="206">
        <f>INDEX($A$102:$H$115,MATCH($L113,$B$102:$B$115,0),MATCH($M$101,$A$102:$H$102,0))*고양시_Modal_split!L$3 * 0.01</f>
        <v>0.30263187161616034</v>
      </c>
      <c r="W113" s="206">
        <f>INDEX($A$102:$H$115,MATCH($L113,$B$102:$B$115,0),MATCH($M$101,$A$102:$H$102,0))*고양시_Modal_split!M$3 * 0.01</f>
        <v>2.304812267275393E-2</v>
      </c>
      <c r="X113" s="206">
        <f>INDEX($A$102:$H$115,MATCH($L113,$B$102:$B$115,0),MATCH($M$101,$A$102:$H$102,0))*고양시_Modal_split!N$3 * 0.01</f>
        <v>1.0020922901197363E-2</v>
      </c>
      <c r="Y113" s="206">
        <f>INDEX($A$102:$H$115,MATCH($L113,$B$102:$B$115,0),MATCH($M$101,$A$102:$H$102,0))*고양시_Modal_split!O$3 * 0.01</f>
        <v>1.8037661222155249E-2</v>
      </c>
      <c r="Z113" s="209">
        <f>INDEX($A$102:$H$115,MATCH($L113,$B$102:$B$115,0),MATCH($M$101,$A$102:$H$102,0))*고양시_Modal_split!P$3 * 0.01</f>
        <v>10.020922901197361</v>
      </c>
      <c r="AA113" s="207">
        <f>INDEX($A$102:$H$115,MATCH($L113,$B$102:$B$115,0),MATCH($AA$101,$A$102:$H$102,0))*고양시_Modal_split!C$3 * 0.01</f>
        <v>0.21818729187056365</v>
      </c>
      <c r="AB113" s="207">
        <f>INDEX($A$102:$H$115,MATCH($L113,$B$102:$B$115,0),MATCH($AA$101,$A$102:$H$102,0))*고양시_Modal_split!D$3 * 0.01</f>
        <v>36.647672630973609</v>
      </c>
      <c r="AC113" s="207">
        <f>INDEX($A$102:$H$115,MATCH($L113,$B$102:$B$115,0),MATCH($AA$101,$A$102:$H$102,0))*고양시_Modal_split!E$3 * 0.01</f>
        <v>4.4338774669410972</v>
      </c>
      <c r="AD113" s="207">
        <f>INDEX($A$102:$H$115,MATCH($L113,$B$102:$B$115,0),MATCH($AA$101,$A$102:$H$102,0))*고양시_Modal_split!F$3 * 0.01</f>
        <v>7.1456338087609605</v>
      </c>
      <c r="AE113" s="207">
        <f>INDEX($A$102:$H$115,MATCH($L113,$B$102:$B$115,0),MATCH($AA$101,$A$102:$H$102,0))*고양시_Modal_split!G$3 * 0.01</f>
        <v>0.71690110186042344</v>
      </c>
      <c r="AF113" s="207">
        <f>INDEX($A$102:$H$115,MATCH($L113,$B$102:$B$115,0),MATCH($AA$101,$A$102:$H$102,0))*고양시_Modal_split!H$3 * 0.01</f>
        <v>7.7924032810915613E-3</v>
      </c>
      <c r="AG113" s="207">
        <f>INDEX($A$102:$H$115,MATCH($L113,$B$102:$B$115,0),MATCH($AA$101,$A$102:$H$102,0))*고양시_Modal_split!I$3 * 0.01</f>
        <v>2.1662881121434538</v>
      </c>
      <c r="AH113" s="207">
        <f>INDEX($A$102:$H$115,MATCH($L113,$B$102:$B$115,0),MATCH($AA$101,$A$102:$H$102,0))*고양시_Modal_split!J$3 * 0.01</f>
        <v>23.720075587642711</v>
      </c>
      <c r="AI113" s="207">
        <f>INDEX($A$102:$H$115,MATCH($L113,$B$102:$B$115,0),MATCH($AA$101,$A$102:$H$102,0))*고양시_Modal_split!K$3 * 0.01</f>
        <v>0.11688604921637341</v>
      </c>
      <c r="AJ113" s="207">
        <f>INDEX($A$102:$H$115,MATCH($L113,$B$102:$B$115,0),MATCH($AA$101,$A$102:$H$102,0))*고양시_Modal_split!L$3 * 0.01</f>
        <v>2.3533057908896513</v>
      </c>
      <c r="AK113" s="207">
        <f>INDEX($A$102:$H$115,MATCH($L113,$B$102:$B$115,0),MATCH($AA$101,$A$102:$H$102,0))*고양시_Modal_split!M$3 * 0.01</f>
        <v>0.17922527546510586</v>
      </c>
      <c r="AL113" s="207">
        <f>INDEX($A$102:$H$115,MATCH($L113,$B$102:$B$115,0),MATCH($AA$101,$A$102:$H$102,0))*고양시_Modal_split!N$3 * 0.01</f>
        <v>7.7924032810915617E-2</v>
      </c>
      <c r="AM113" s="207">
        <f>INDEX($A$102:$H$115,MATCH($L113,$B$102:$B$115,0),MATCH($AA$101,$A$102:$H$102,0))*고양시_Modal_split!O$3 * 0.01</f>
        <v>0.14026325905964809</v>
      </c>
      <c r="AN113" s="207">
        <f>INDEX($A$102:$H$115,MATCH($L113,$B$102:$B$115,0),MATCH($AA$101,$A$102:$H$102,0))*고양시_Modal_split!P$3 * 0.01</f>
        <v>77.924032810915605</v>
      </c>
      <c r="AO113" s="303">
        <f>INDEX($A$102:$H$115,MATCH($L113,$B$102:$B$115,0),MATCH($AO$101,$A$102:$H$102,0))*고양시_Modal_split!C$3 * 0.01</f>
        <v>9.6712287541545032E-3</v>
      </c>
      <c r="AP113" s="303">
        <f>INDEX($A$102:$H$115,MATCH($L113,$B$102:$B$115,0),MATCH($AO$101,$A$102:$H$102,0))*고양시_Modal_split!D$3 * 0.01</f>
        <v>1.6244210296710229</v>
      </c>
      <c r="AQ113" s="303">
        <f>INDEX($A$102:$H$115,MATCH($L113,$B$102:$B$115,0),MATCH($AO$101,$A$102:$H$102,0))*고양시_Modal_split!E$3 * 0.01</f>
        <v>0.19653318432549685</v>
      </c>
      <c r="AR113" s="303">
        <f>INDEX($A$102:$H$115,MATCH($L113,$B$102:$B$115,0),MATCH($AO$101,$A$102:$H$102,0))*고양시_Modal_split!F$3 * 0.01</f>
        <v>0.31673274169856003</v>
      </c>
      <c r="AS113" s="303">
        <f>INDEX($A$102:$H$115,MATCH($L113,$B$102:$B$115,0),MATCH($AO$101,$A$102:$H$102,0))*고양시_Modal_split!G$3 * 0.01</f>
        <v>3.1776894477936225E-2</v>
      </c>
      <c r="AT113" s="303">
        <f>INDEX($A$102:$H$115,MATCH($L113,$B$102:$B$115,0),MATCH($AO$101,$A$102:$H$102,0))*고양시_Modal_split!H$3 * 0.01</f>
        <v>3.4540102693408946E-4</v>
      </c>
      <c r="AU113" s="303">
        <f>INDEX($A$102:$H$115,MATCH($L113,$B$102:$B$115,0),MATCH($AO$101,$A$102:$H$102,0))*고양시_Modal_split!I$3 * 0.01</f>
        <v>9.6021485487676861E-2</v>
      </c>
      <c r="AV113" s="303">
        <f>INDEX($A$102:$H$115,MATCH($L113,$B$102:$B$115,0),MATCH($AO$101,$A$102:$H$102,0))*고양시_Modal_split!J$3 * 0.01</f>
        <v>1.0514007259873683</v>
      </c>
      <c r="AW113" s="303">
        <f>INDEX($A$102:$H$115,MATCH($L113,$B$102:$B$115,0),MATCH($AO$101,$A$102:$H$102,0))*고양시_Modal_split!K$3 * 0.01</f>
        <v>5.1810154040113415E-3</v>
      </c>
      <c r="AX113" s="303">
        <f>INDEX($A$102:$H$115,MATCH($L113,$B$102:$B$115,0),MATCH($AO$101,$A$102:$H$102,0))*고양시_Modal_split!L$3 * 0.01</f>
        <v>0.10431111013409501</v>
      </c>
      <c r="AY113" s="303">
        <f>INDEX($A$102:$H$115,MATCH($L113,$B$102:$B$115,0),MATCH($AO$101,$A$102:$H$102,0))*고양시_Modal_split!M$3 * 0.01</f>
        <v>7.9442236194840563E-3</v>
      </c>
      <c r="AZ113" s="303">
        <f>INDEX($A$102:$H$115,MATCH($L113,$B$102:$B$115,0),MATCH($AO$101,$A$102:$H$102,0))*고양시_Modal_split!N$3 * 0.01</f>
        <v>3.4540102693408946E-3</v>
      </c>
      <c r="BA113" s="207">
        <f>INDEX($A$102:$H$115,MATCH($L113,$B$102:$B$115,0),MATCH($AO$101,$A$102:$H$102,0))*고양시_Modal_split!O$3 * 0.01</f>
        <v>6.2172184848136094E-3</v>
      </c>
      <c r="BB113" s="207">
        <f>INDEX($A$102:$H$115,MATCH($L113,$B$102:$B$115,0),MATCH($AO$101,$A$102:$H$102,0))*고양시_Modal_split!P$3 * 0.01</f>
        <v>3.4540102693408943</v>
      </c>
      <c r="BC113" s="207">
        <f>INDEX($A$102:$H$115,MATCH($L113,$B$102:$B$115,0),MATCH($BC$101,$A$102:$H$102,0))*고양시_Modal_split!C$3 * 0.01</f>
        <v>2.6227061028215503E-5</v>
      </c>
      <c r="BD113" s="207">
        <f>INDEX($A$102:$H$115,MATCH($L113,$B$102:$B$115,0),MATCH($BC$101,$A$102:$H$102,0))*고양시_Modal_split!D$3 * 0.01</f>
        <v>4.4052095719891975E-3</v>
      </c>
      <c r="BE113" s="207">
        <f>INDEX($A$102:$H$115,MATCH($L113,$B$102:$B$115,0),MATCH($BC$101,$A$102:$H$102,0))*고양시_Modal_split!E$3 * 0.01</f>
        <v>5.329713473233794E-4</v>
      </c>
      <c r="BF113" s="207">
        <f>INDEX($A$102:$H$115,MATCH($L113,$B$102:$B$115,0),MATCH($BC$101,$A$102:$H$102,0))*고양시_Modal_split!F$3 * 0.01</f>
        <v>8.5893624867405772E-4</v>
      </c>
      <c r="BG113" s="207">
        <f>INDEX($A$102:$H$115,MATCH($L113,$B$102:$B$115,0),MATCH($BC$101,$A$102:$H$102,0))*고양시_Modal_split!G$3 * 0.01</f>
        <v>8.6174629092708094E-5</v>
      </c>
      <c r="BH113" s="207">
        <f>INDEX($A$102:$H$115,MATCH($L113,$B$102:$B$115,0),MATCH($BC$101,$A$102:$H$102,0))*고양시_Modal_split!H$3 * 0.01</f>
        <v>9.3668075100769669E-7</v>
      </c>
      <c r="BI113" s="207">
        <f>INDEX($A$102:$H$115,MATCH($L113,$B$102:$B$115,0),MATCH($BC$101,$A$102:$H$102,0))*고양시_Modal_split!I$3 * 0.01</f>
        <v>2.6039724878013966E-4</v>
      </c>
      <c r="BJ113" s="207">
        <f>INDEX($A$102:$H$115,MATCH($L113,$B$102:$B$115,0),MATCH($BC$101,$A$102:$H$102,0))*고양시_Modal_split!J$3 * 0.01</f>
        <v>2.8512562060674287E-3</v>
      </c>
      <c r="BK113" s="207">
        <f>INDEX($A$102:$H$115,MATCH($L113,$B$102:$B$115,0),MATCH($BC$101,$A$102:$H$102,0))*고양시_Modal_split!K$3 * 0.01</f>
        <v>1.4050211265115449E-5</v>
      </c>
      <c r="BL113" s="207">
        <f>INDEX($A$102:$H$115,MATCH($L113,$B$102:$B$115,0),MATCH($BC$101,$A$102:$H$102,0))*고양시_Modal_split!L$3 * 0.01</f>
        <v>2.8287758680432438E-4</v>
      </c>
      <c r="BM113" s="207">
        <f>INDEX($A$102:$H$115,MATCH($L113,$B$102:$B$115,0),MATCH($BC$101,$A$102:$H$102,0))*고양시_Modal_split!M$3 * 0.01</f>
        <v>2.1543657273177024E-5</v>
      </c>
      <c r="BN113" s="207">
        <f>INDEX($A$102:$H$115,MATCH($L113,$B$102:$B$115,0),MATCH($BC$101,$A$102:$H$102,0))*고양시_Modal_split!N$3 * 0.01</f>
        <v>9.3668075100769667E-6</v>
      </c>
      <c r="BO113" s="207">
        <f>INDEX($A$102:$H$115,MATCH($L113,$B$102:$B$115,0),MATCH($BC$101,$A$102:$H$102,0))*고양시_Modal_split!O$3 * 0.01</f>
        <v>1.6860253518138541E-5</v>
      </c>
      <c r="BP113" s="207">
        <f>INDEX($A$102:$H$115,MATCH($L113,$B$102:$B$115,0),MATCH($BC$101,$A$102:$H$102,0))*고양시_Modal_split!P$3 * 0.01</f>
        <v>9.3668075100769663E-3</v>
      </c>
      <c r="BQ113" s="207">
        <f>INDEX($A$102:$H$115,MATCH($L113,$B$102:$B$115,0),MATCH($BQ$101,$A$102:$H$102,0))*고양시_Modal_split!C$3 * 0.01</f>
        <v>7.4310006246610825E-5</v>
      </c>
      <c r="BR113" s="207">
        <f>INDEX($A$102:$H$115,MATCH($L113,$B$102:$B$115,0),MATCH($BQ$101,$A$102:$H$102,0))*고양시_Modal_split!D$3 * 0.01</f>
        <v>1.24814271206361E-2</v>
      </c>
      <c r="BS113" s="207">
        <f>INDEX($A$102:$H$115,MATCH($L113,$B$102:$B$115,0),MATCH($BQ$101,$A$102:$H$102,0))*고양시_Modal_split!E$3 * 0.01</f>
        <v>1.5100854840829128E-3</v>
      </c>
      <c r="BT113" s="207">
        <f>INDEX($A$102:$H$115,MATCH($L113,$B$102:$B$115,0),MATCH($BQ$101,$A$102:$H$102,0))*고양시_Modal_split!F$3 * 0.01</f>
        <v>2.4336527045765049E-3</v>
      </c>
      <c r="BU113" s="207">
        <f>INDEX($A$102:$H$115,MATCH($L113,$B$102:$B$115,0),MATCH($BQ$101,$A$102:$H$102,0))*고양시_Modal_split!G$3 * 0.01</f>
        <v>2.4416144909600703E-4</v>
      </c>
      <c r="BV113" s="207">
        <f>INDEX($A$102:$H$115,MATCH($L113,$B$102:$B$115,0),MATCH($BQ$101,$A$102:$H$102,0))*고양시_Modal_split!H$3 * 0.01</f>
        <v>2.6539287945218157E-6</v>
      </c>
      <c r="BW113" s="207">
        <f>INDEX($A$102:$H$115,MATCH($L113,$B$102:$B$115,0),MATCH($BQ$101,$A$102:$H$102,0))*고양시_Modal_split!I$3 * 0.01</f>
        <v>7.3779220487706467E-4</v>
      </c>
      <c r="BX113" s="207">
        <f>INDEX($A$102:$H$115,MATCH($L113,$B$102:$B$115,0),MATCH($BQ$101,$A$102:$H$102,0))*고양시_Modal_split!J$3 * 0.01</f>
        <v>8.0785592505244058E-3</v>
      </c>
      <c r="BY113" s="207">
        <f>INDEX($A$102:$H$115,MATCH($L113,$B$102:$B$115,0),MATCH($BQ$101,$A$102:$H$102,0))*고양시_Modal_split!K$3 * 0.01</f>
        <v>3.9808931917827238E-5</v>
      </c>
      <c r="BZ113" s="207">
        <f>INDEX($A$102:$H$115,MATCH($L113,$B$102:$B$115,0),MATCH($BQ$101,$A$102:$H$102,0))*고양시_Modal_split!L$3 * 0.01</f>
        <v>8.0148649594558832E-4</v>
      </c>
      <c r="CA113" s="207">
        <f>INDEX($A$102:$H$115,MATCH($L113,$B$102:$B$115,0),MATCH($BQ$101,$A$102:$H$102,0))*고양시_Modal_split!M$3 * 0.01</f>
        <v>6.1040362274001757E-5</v>
      </c>
      <c r="CB113" s="207">
        <f>INDEX($A$102:$H$115,MATCH($L113,$B$102:$B$115,0),MATCH($BQ$101,$A$102:$H$102,0))*고양시_Modal_split!N$3 * 0.01</f>
        <v>2.653928794521816E-5</v>
      </c>
      <c r="CC113" s="207">
        <f>INDEX($A$102:$H$115,MATCH($L113,$B$102:$B$115,0),MATCH($BQ$101,$A$102:$H$102,0))*고양시_Modal_split!O$3 * 0.01</f>
        <v>4.7770718301392682E-5</v>
      </c>
      <c r="CD113" s="207">
        <f>INDEX($A$102:$H$115,MATCH($L113,$B$102:$B$115,0),MATCH($BQ$101,$A$102:$H$102,0))*고양시_Modal_split!P$3 * 0.01</f>
        <v>2.6539287945218155E-2</v>
      </c>
      <c r="CE113" s="304">
        <f t="shared" si="51"/>
        <v>0.25601764181534564</v>
      </c>
      <c r="CF113" s="304">
        <f t="shared" si="47"/>
        <v>43.001820337770376</v>
      </c>
      <c r="CG113" s="304">
        <f t="shared" si="47"/>
        <v>5.2026442211761292</v>
      </c>
      <c r="CH113" s="304">
        <f t="shared" si="47"/>
        <v>8.3845777694525694</v>
      </c>
      <c r="CI113" s="304">
        <f t="shared" si="47"/>
        <v>0.84120082310756406</v>
      </c>
      <c r="CJ113" s="304">
        <f t="shared" si="47"/>
        <v>9.143487207690917E-3</v>
      </c>
      <c r="CK113" s="304">
        <f t="shared" si="47"/>
        <v>2.541889443738075</v>
      </c>
      <c r="CL113" s="304">
        <f t="shared" si="47"/>
        <v>27.832775060211148</v>
      </c>
      <c r="CM113" s="304">
        <f t="shared" si="47"/>
        <v>0.13715230811536372</v>
      </c>
      <c r="CN113" s="304">
        <f t="shared" si="47"/>
        <v>2.7613331367226572</v>
      </c>
      <c r="CO113" s="304">
        <f t="shared" si="47"/>
        <v>0.21030020577689101</v>
      </c>
      <c r="CP113" s="304">
        <f t="shared" si="47"/>
        <v>9.1434872076909174E-2</v>
      </c>
      <c r="CQ113" s="304">
        <f t="shared" si="47"/>
        <v>0.16458276973843647</v>
      </c>
      <c r="CR113" s="304">
        <f t="shared" si="47"/>
        <v>91.434872076909159</v>
      </c>
      <c r="CS113" s="305">
        <f t="shared" si="52"/>
        <v>0</v>
      </c>
      <c r="CV113" s="267"/>
      <c r="CW113" s="267" t="s">
        <v>305</v>
      </c>
      <c r="CX113" s="267">
        <f>INDEX($M$101:$Z$115,MATCH($CW113,$L$101:$L$115,0),MATCH(CX$102,$M$102:$Z$102,0))/INDEX(고양시_재차인원!$D$4:$H$35,MATCH("고양시",고양시_재차인원!$B$4:$B$35,0),MATCH($CX$101,고양시_재차인원!$D$4:$H$4,0))</f>
        <v>4.207892893243856</v>
      </c>
      <c r="CY113" s="267">
        <f>INDEX($M$101:$Z$115,MATCH($CW113,$L$101:$L$115,0),MATCH(CY$102,$M$102:$Z$102,0))/INDEX(고양시_재차인원!$K$4:$O$20,MATCH("경기도",고양시_재차인원!$K$4:$K$20,0),MATCH(CY$102,고양시_재차인원!$K$4:$O$4,0))</f>
        <v>3.4806956933648355E-5</v>
      </c>
      <c r="CZ113" s="267">
        <f>INDEX($M$101:$Z$115,MATCH($CW113,$L$101:$L$115,0),MATCH(CZ$102,$M$102:$Z$102,0))/INDEX(고양시_재차인원!$K$4:$O$20,MATCH("경기도",고양시_재차인원!$K$4:$K$20,0),MATCH(CZ$102,고양시_재차인원!$K$4:$O$4,0))</f>
        <v>9.6763340275542436E-3</v>
      </c>
      <c r="DA113" s="267">
        <f>INDEX($M$101:$Z$115,MATCH($CW113,$L$101:$L$115,0),MATCH(DA$102,$M$102:$Z$102,0))/INDEX(고양시_재차인원!$D$4:$H$35,MATCH("고양시",고양시_재차인원!$B$4:$B$35,0),MATCH($CX$101,고양시_재차인원!$D$4:$H$4,0))</f>
        <v>0.27020702822871456</v>
      </c>
      <c r="DB113" s="267">
        <f>INDEX($AA$101:$AN$115,MATCH($CW113,$L$101:$L$115,0),MATCH(DB$102,$AA$102:$AN$102,0))/INDEX(고양시_재차인원!$D$4:$H$35,MATCH("고양시",고양시_재차인원!$B$4:$B$35,0),MATCH($DB$101,고양시_재차인원!$D$4:$H$4,0))</f>
        <v>25.991257185087669</v>
      </c>
      <c r="DC113" s="267">
        <f>INDEX($AA$101:$AN$115,MATCH($CW113,$L$101:$L$115,0),MATCH(DC$102,$AA$102:$AN$102,0))/INDEX(고양시_재차인원!$K$4:$O$20,MATCH("경기도",고양시_재차인원!$K$4:$K$20,0),MATCH(DC$102,고양시_재차인원!$K$4:$O$4,0))</f>
        <v>2.7066353876663984E-4</v>
      </c>
      <c r="DD113" s="267">
        <f>INDEX($AA$101:$AN$115,MATCH($CW113,$L$101:$L$115,0),MATCH(DD$102,$AA$102:$AN$102,0))/INDEX(고양시_재차인원!$K$4:$O$20,MATCH("경기도",고양시_재차인원!$K$4:$K$20,0),MATCH(DD$102,고양시_재차인원!$K$4:$O$4,0))</f>
        <v>7.5244463777125875E-2</v>
      </c>
      <c r="DE113" s="267">
        <f>INDEX($AA$101:$AN$115,MATCH($CW113,$L$101:$L$115,0),MATCH(DE$102,$AA$102:$AN$102,0))/INDEX(고양시_재차인원!$D$4:$H$35,MATCH("고양시",고양시_재차인원!$B$4:$B$35,0),MATCH($DB$101,고양시_재차인원!$D$4:$H$4,0))</f>
        <v>1.6690111992125187</v>
      </c>
      <c r="DF113" s="267">
        <f>INDEX($AO$101:$BB$115,MATCH($CW113,$L$101:$L$115,0),MATCH(DF$102,$AO$102:$BB$102,0))/INDEX(고양시_재차인원!$D$4:$H$35,MATCH("고양시",고양시_재차인원!$B$4:$B$35,0),MATCH($DF$101,고양시_재차인원!$D$4:$H$4,0))</f>
        <v>1.249554638208479</v>
      </c>
      <c r="DG113" s="267">
        <f>INDEX($AO$101:$BB$115,MATCH($CW113,$L$101:$L$115,0),MATCH(DG$102,$AO$102:$BB$102,0))/INDEX(고양시_재차인원!$K$4:$O$20,MATCH("경기도",고양시_재차인원!$K$4:$K$20,0),MATCH(DG$102,고양시_재차인원!$K$4:$O$4,0))</f>
        <v>1.1997256927200051E-5</v>
      </c>
      <c r="DH113" s="267">
        <f>INDEX($AO$101:$BB$115,MATCH($CW113,$L$101:$L$115,0),MATCH(DH$102,$AO$102:$BB$102,0))/INDEX(고양시_재차인원!$K$4:$O$20,MATCH("경기도",고양시_재차인원!$K$4:$K$20,0),MATCH(DH$102,고양시_재차인원!$K$4:$O$4,0))</f>
        <v>3.3352374257616139E-3</v>
      </c>
      <c r="DI113" s="267">
        <f>INDEX($AO$101:$BB$115,MATCH($CW113,$L$101:$L$115,0),MATCH(DI$102,$AO$102:$BB$102,0))/INDEX(고양시_재차인원!$D$4:$H$35,MATCH("고양시",고양시_재차인원!$B$4:$B$35,0),MATCH($DF$101,고양시_재차인원!$D$4:$H$4,0))</f>
        <v>8.0239315487765389E-2</v>
      </c>
      <c r="DJ113" s="267">
        <f>INDEX($BC$101:$BP$115,MATCH($CW113,$L$101:$L$115,0),MATCH(DJ$102,$BC$102:$BP$102,0))/INDEX(고양시_재차인원!$D$4:$H$35,MATCH("고양시",고양시_재차인원!$B$4:$B$35,0),MATCH($DJ$101,고양시_재차인원!$D$4:$H$4,0))</f>
        <v>3.2391246852861745E-3</v>
      </c>
      <c r="DK113" s="267">
        <f>INDEX($BC$101:$BP$115,MATCH($CW113,$L$101:$L$115,0),MATCH(DK$102,$BC$102:$BP$102,0))/INDEX(고양시_재차인원!$K$4:$O$20,MATCH("경기도",고양시_재차인원!$K$4:$K$20,0),MATCH(DK$102,고양시_재차인원!$K$4:$O$4,0))</f>
        <v>3.253493403986442E-8</v>
      </c>
      <c r="DL113" s="267">
        <f>INDEX($BC$101:$BP$115,MATCH($CW113,$L$101:$L$115,0),MATCH(DL$102,$BC$102:$BP$102,0))/INDEX(고양시_재차인원!$K$4:$O$20,MATCH("경기도",고양시_재차인원!$K$4:$K$20,0),MATCH(DL$102,고양시_재차인원!$K$4:$O$4,0))</f>
        <v>9.0447116630823092E-6</v>
      </c>
      <c r="DM113" s="267">
        <f>INDEX($BC$101:$BP$115,MATCH($CW113,$L$101:$L$115,0),MATCH(DM$102,$BC$102:$BP$102,0))/INDEX(고양시_재차인원!$D$4:$H$35,MATCH("고양시",고양시_재차인원!$B$4:$B$35,0),MATCH($DJ$101,고양시_재차인원!$D$4:$H$4,0))</f>
        <v>2.0799822559141497E-4</v>
      </c>
      <c r="DN113" s="267">
        <f>INDEX($BQ$101:$CD$115,MATCH($CW113,$L$101:$L$115,0),MATCH(DN$102,$BQ$102:$CD$102,0))/INDEX(고양시_재차인원!$D$4:$H$35,MATCH("고양시",고양시_재차인원!$B$4:$B$35,0),MATCH($DN$101,고양시_재차인원!$D$4:$H$4,0))</f>
        <v>9.9058945401873811E-3</v>
      </c>
      <c r="DO113" s="267">
        <f>INDEX($BQ$101:$CD$115,MATCH($CW113,$L$101:$L$115,0),MATCH(DO$102,$BQ$102:$CD$102,0))/INDEX(고양시_재차인원!$K$4:$O$20,MATCH("경기도",고양시_재차인원!$K$4:$K$20,0),MATCH(DO$102,고양시_재차인원!$K$4:$O$4,0))</f>
        <v>9.2182313112949483E-8</v>
      </c>
      <c r="DP113" s="267">
        <f>INDEX($BQ$101:$CD$115,MATCH($CW113,$L$101:$L$115,0),MATCH(DP$102,$BQ$102:$CD$102,0))/INDEX(고양시_재차인원!$K$4:$O$20,MATCH("경기도",고양시_재차인원!$K$4:$K$20,0),MATCH(DP$102,고양시_재차인원!$K$4:$O$4,0))</f>
        <v>2.5626683045399953E-5</v>
      </c>
      <c r="DQ113" s="267">
        <f>INDEX($BQ$101:$CD$115,MATCH($CW113,$L$101:$L$115,0),MATCH(DQ$102,$BQ$102:$CD$102,0))/INDEX(고양시_재차인원!$D$4:$H$35,MATCH("고양시",고양시_재차인원!$B$4:$B$35,0),MATCH($DN$101,고양시_재차인원!$D$4:$H$4,0))</f>
        <v>6.3610039360760973E-4</v>
      </c>
      <c r="DR113" s="270">
        <f t="shared" si="53"/>
        <v>31.461849735765476</v>
      </c>
      <c r="DS113" s="270">
        <f t="shared" si="48"/>
        <v>3.1759246987464099E-4</v>
      </c>
      <c r="DT113" s="270">
        <f t="shared" si="48"/>
        <v>8.8290706625150206E-2</v>
      </c>
      <c r="DU113" s="270">
        <f t="shared" si="48"/>
        <v>2.020301641548198</v>
      </c>
      <c r="DW113" s="278"/>
      <c r="DX113" s="278" t="s">
        <v>305</v>
      </c>
      <c r="DY113" s="281">
        <f t="shared" si="54"/>
        <v>33.482151377313677</v>
      </c>
      <c r="DZ113" s="281">
        <f t="shared" si="55"/>
        <v>8.8608299095024851E-2</v>
      </c>
      <c r="EB113" s="278"/>
      <c r="EC113" s="278" t="s">
        <v>305</v>
      </c>
      <c r="ED113" s="281">
        <f t="shared" si="56"/>
        <v>33.482151377313677</v>
      </c>
      <c r="EE113" s="281">
        <f t="shared" si="49"/>
        <v>8.8608299095024851E-2</v>
      </c>
      <c r="EL113" s="306" t="s">
        <v>667</v>
      </c>
      <c r="EM113" s="306" t="s">
        <v>221</v>
      </c>
      <c r="EN113" s="306">
        <v>22244.514299999999</v>
      </c>
      <c r="EO113" s="306">
        <v>0.11978017675227419</v>
      </c>
      <c r="EP113" s="307">
        <v>849111</v>
      </c>
      <c r="EQ113" s="308">
        <f t="shared" si="57"/>
        <v>538.17174163374727</v>
      </c>
      <c r="ER113" s="308">
        <f t="shared" si="58"/>
        <v>1.424235919304881</v>
      </c>
      <c r="ET113" s="420" t="s">
        <v>667</v>
      </c>
      <c r="EU113" s="420" t="s">
        <v>221</v>
      </c>
      <c r="EV113" s="420">
        <v>22244.514299999999</v>
      </c>
      <c r="EW113" s="420">
        <v>0.11978017675227419</v>
      </c>
      <c r="EX113" s="421">
        <v>849111</v>
      </c>
      <c r="EY113" s="422">
        <f t="shared" si="59"/>
        <v>522.83384699718545</v>
      </c>
      <c r="EZ113" s="422">
        <f t="shared" si="60"/>
        <v>1.383645195604692</v>
      </c>
      <c r="FA113">
        <v>0</v>
      </c>
      <c r="FD113" s="306" t="s">
        <v>667</v>
      </c>
      <c r="FE113" s="306" t="s">
        <v>221</v>
      </c>
      <c r="FF113" s="306">
        <v>22244.514299999999</v>
      </c>
      <c r="FG113" s="306">
        <v>0.11978017675227419</v>
      </c>
      <c r="FH113" s="307">
        <v>849111</v>
      </c>
      <c r="FI113" s="308">
        <f t="shared" si="61"/>
        <v>522.83384699718545</v>
      </c>
      <c r="FJ113" s="308">
        <f t="shared" si="50"/>
        <v>1.383645195604692</v>
      </c>
      <c r="FL113" s="101"/>
      <c r="FM113" s="101"/>
      <c r="FN113" s="101"/>
      <c r="FO113" s="101"/>
      <c r="FP113" s="374"/>
      <c r="FQ113" s="404"/>
      <c r="FR113" s="404"/>
    </row>
    <row r="114" spans="1:174" ht="25">
      <c r="A114" s="205"/>
      <c r="B114" s="205" t="s">
        <v>47</v>
      </c>
      <c r="C114" s="400">
        <f>$AB72*KTDB_TripDistribution_2035!L$12 * (1+KTDB_발생량도착량_증가율!$C$8*2) * (1+KTDB_발생량도착량_증가율!$D$7*5) * (1+KTDB_발생량도착량_증가율!$E$7*5)</f>
        <v>868.22897899449265</v>
      </c>
      <c r="D114" s="400">
        <f>$AB72*KTDB_TripDistribution_2035!M$12 * (1+KTDB_발생량도착량_증가율!$C$8*2) * (1+KTDB_발생량도착량_증가율!$D$7*5) * (1+KTDB_발생량도착량_증가율!$E$7*5)</f>
        <v>6751.4643225596201</v>
      </c>
      <c r="E114" s="400">
        <f>$AB72*KTDB_TripDistribution_2035!N$12 * (1+KTDB_발생량도착량_증가율!$C$8*2) * (1+KTDB_발생량도착량_증가율!$D$7*5) * (1+KTDB_발생량도착량_증가율!$E$7*5)</f>
        <v>299.26104004133339</v>
      </c>
      <c r="F114" s="400">
        <f>$AB72*KTDB_TripDistribution_2035!O$12 * (1+KTDB_발생량도착량_증가율!$C$8*2) * (1+KTDB_발생량도착량_증가율!$D$7*5) * (1+KTDB_발생량도착량_증가율!$E$7*5)</f>
        <v>0.8115553628239518</v>
      </c>
      <c r="G114" s="400">
        <f>$AB72*KTDB_TripDistribution_2035!P$12 * (1+KTDB_발생량도착량_증가율!$C$8*2) * (1+KTDB_발생량도착량_증가율!$D$7*5) * (1+KTDB_발생량도착량_증가율!$E$7*5)</f>
        <v>2.2994068613345373</v>
      </c>
      <c r="H114" s="400">
        <f>$AB72*KTDB_TripDistribution_2035!Q$12 * (1+KTDB_발생량도착량_증가율!$C$8*2) * (1+KTDB_발생량도착량_증가율!$D$7*5) * (1+KTDB_발생량도착량_증가율!$E$7*5)</f>
        <v>7922.0653038196033</v>
      </c>
      <c r="I114" s="56"/>
      <c r="J114" s="56"/>
      <c r="K114" s="206"/>
      <c r="L114" s="206" t="s">
        <v>47</v>
      </c>
      <c r="M114" s="206">
        <f>INDEX($A$102:$H$115,MATCH($L114,$B$102:$B$115,0),MATCH($M$101,$A$102:$H$102,0))*고양시_Modal_split!C$3 * 0.01</f>
        <v>2.4310411411845791</v>
      </c>
      <c r="N114" s="206">
        <f>INDEX($A$102:$H$115,MATCH($L114,$B$102:$B$115,0),MATCH($M$101,$A$102:$H$102,0))*고양시_Modal_split!D$3 * 0.01</f>
        <v>408.32808882110993</v>
      </c>
      <c r="O114" s="206">
        <f>INDEX($A$102:$H$115,MATCH($L114,$B$102:$B$115,0),MATCH($M$101,$A$102:$H$102,0))*고양시_Modal_split!E$3 * 0.01</f>
        <v>49.402228904786625</v>
      </c>
      <c r="P114" s="206">
        <f>INDEX($A$102:$H$115,MATCH($L114,$B$102:$B$115,0),MATCH($M$101,$A$102:$H$102,0))*고양시_Modal_split!F$3 * 0.01</f>
        <v>79.616597373794974</v>
      </c>
      <c r="Q114" s="206">
        <f>INDEX($A$102:$H$115,MATCH($L114,$B$102:$B$115,0),MATCH($M$101,$A$102:$H$102,0))*고양시_Modal_split!G$3 * 0.01</f>
        <v>7.9877066067493319</v>
      </c>
      <c r="R114" s="206">
        <f>INDEX($A$102:$H$115,MATCH($L114,$B$102:$B$115,0),MATCH($M$101,$A$102:$H$102,0))*고양시_Modal_split!H$3 * 0.01</f>
        <v>8.6822897899449261E-2</v>
      </c>
      <c r="S114" s="206">
        <f>INDEX($A$102:$H$115,MATCH($L114,$B$102:$B$115,0),MATCH($M$101,$A$102:$H$102,0))*고양시_Modal_split!I$3 * 0.01</f>
        <v>24.136765616046898</v>
      </c>
      <c r="T114" s="206">
        <f>INDEX($A$102:$H$115,MATCH($L114,$B$102:$B$115,0),MATCH($M$101,$A$102:$H$102,0))*고양시_Modal_split!J$3 * 0.01</f>
        <v>264.28890120592359</v>
      </c>
      <c r="U114" s="206">
        <f>INDEX($A$102:$H$115,MATCH($L114,$B$102:$B$115,0),MATCH($M$101,$A$102:$H$102,0))*고양시_Modal_split!K$3 * 0.01</f>
        <v>1.302343468491739</v>
      </c>
      <c r="V114" s="206">
        <f>INDEX($A$102:$H$115,MATCH($L114,$B$102:$B$115,0),MATCH($M$101,$A$102:$H$102,0))*고양시_Modal_split!L$3 * 0.01</f>
        <v>26.220515165633678</v>
      </c>
      <c r="W114" s="206">
        <f>INDEX($A$102:$H$115,MATCH($L114,$B$102:$B$115,0),MATCH($M$101,$A$102:$H$102,0))*고양시_Modal_split!M$3 * 0.01</f>
        <v>1.996926651687333</v>
      </c>
      <c r="X114" s="206">
        <f>INDEX($A$102:$H$115,MATCH($L114,$B$102:$B$115,0),MATCH($M$101,$A$102:$H$102,0))*고양시_Modal_split!N$3 * 0.01</f>
        <v>0.86822897899449281</v>
      </c>
      <c r="Y114" s="206">
        <f>INDEX($A$102:$H$115,MATCH($L114,$B$102:$B$115,0),MATCH($M$101,$A$102:$H$102,0))*고양시_Modal_split!O$3 * 0.01</f>
        <v>1.5628121621900868</v>
      </c>
      <c r="Z114" s="209">
        <f>INDEX($A$102:$H$115,MATCH($L114,$B$102:$B$115,0),MATCH($M$101,$A$102:$H$102,0))*고양시_Modal_split!P$3 * 0.01</f>
        <v>868.22897899449265</v>
      </c>
      <c r="AA114" s="207">
        <f>INDEX($A$102:$H$115,MATCH($L114,$B$102:$B$115,0),MATCH($AA$101,$A$102:$H$102,0))*고양시_Modal_split!C$3 * 0.01</f>
        <v>18.904100103166936</v>
      </c>
      <c r="AB114" s="207">
        <f>INDEX($A$102:$H$115,MATCH($L114,$B$102:$B$115,0),MATCH($AA$101,$A$102:$H$102,0))*고양시_Modal_split!D$3 * 0.01</f>
        <v>3175.2136708997896</v>
      </c>
      <c r="AC114" s="207">
        <f>INDEX($A$102:$H$115,MATCH($L114,$B$102:$B$115,0),MATCH($AA$101,$A$102:$H$102,0))*고양시_Modal_split!E$3 * 0.01</f>
        <v>384.15831995364238</v>
      </c>
      <c r="AD114" s="207">
        <f>INDEX($A$102:$H$115,MATCH($L114,$B$102:$B$115,0),MATCH($AA$101,$A$102:$H$102,0))*고양시_Modal_split!F$3 * 0.01</f>
        <v>619.10927837871714</v>
      </c>
      <c r="AE114" s="207">
        <f>INDEX($A$102:$H$115,MATCH($L114,$B$102:$B$115,0),MATCH($AA$101,$A$102:$H$102,0))*고양시_Modal_split!G$3 * 0.01</f>
        <v>62.113471767548504</v>
      </c>
      <c r="AF114" s="207">
        <f>INDEX($A$102:$H$115,MATCH($L114,$B$102:$B$115,0),MATCH($AA$101,$A$102:$H$102,0))*고양시_Modal_split!H$3 * 0.01</f>
        <v>0.67514643225596205</v>
      </c>
      <c r="AG114" s="207">
        <f>INDEX($A$102:$H$115,MATCH($L114,$B$102:$B$115,0),MATCH($AA$101,$A$102:$H$102,0))*고양시_Modal_split!I$3 * 0.01</f>
        <v>187.69070816715742</v>
      </c>
      <c r="AH114" s="207">
        <f>INDEX($A$102:$H$115,MATCH($L114,$B$102:$B$115,0),MATCH($AA$101,$A$102:$H$102,0))*고양시_Modal_split!J$3 * 0.01</f>
        <v>2055.1457397871486</v>
      </c>
      <c r="AI114" s="207">
        <f>INDEX($A$102:$H$115,MATCH($L114,$B$102:$B$115,0),MATCH($AA$101,$A$102:$H$102,0))*고양시_Modal_split!K$3 * 0.01</f>
        <v>10.12719648383943</v>
      </c>
      <c r="AJ114" s="207">
        <f>INDEX($A$102:$H$115,MATCH($L114,$B$102:$B$115,0),MATCH($AA$101,$A$102:$H$102,0))*고양시_Modal_split!L$3 * 0.01</f>
        <v>203.89422254130051</v>
      </c>
      <c r="AK114" s="207">
        <f>INDEX($A$102:$H$115,MATCH($L114,$B$102:$B$115,0),MATCH($AA$101,$A$102:$H$102,0))*고양시_Modal_split!M$3 * 0.01</f>
        <v>15.528367941887126</v>
      </c>
      <c r="AL114" s="207">
        <f>INDEX($A$102:$H$115,MATCH($L114,$B$102:$B$115,0),MATCH($AA$101,$A$102:$H$102,0))*고양시_Modal_split!N$3 * 0.01</f>
        <v>6.7514643225596203</v>
      </c>
      <c r="AM114" s="207">
        <f>INDEX($A$102:$H$115,MATCH($L114,$B$102:$B$115,0),MATCH($AA$101,$A$102:$H$102,0))*고양시_Modal_split!O$3 * 0.01</f>
        <v>12.152635780607316</v>
      </c>
      <c r="AN114" s="207">
        <f>INDEX($A$102:$H$115,MATCH($L114,$B$102:$B$115,0),MATCH($AA$101,$A$102:$H$102,0))*고양시_Modal_split!P$3 * 0.01</f>
        <v>6751.464322559621</v>
      </c>
      <c r="AO114" s="303">
        <f>INDEX($A$102:$H$115,MATCH($L114,$B$102:$B$115,0),MATCH($AO$101,$A$102:$H$102,0))*고양시_Modal_split!C$3 * 0.01</f>
        <v>0.83793091211573345</v>
      </c>
      <c r="AP114" s="303">
        <f>INDEX($A$102:$H$115,MATCH($L114,$B$102:$B$115,0),MATCH($AO$101,$A$102:$H$102,0))*고양시_Modal_split!D$3 * 0.01</f>
        <v>140.7424671314391</v>
      </c>
      <c r="AQ114" s="303">
        <f>INDEX($A$102:$H$115,MATCH($L114,$B$102:$B$115,0),MATCH($AO$101,$A$102:$H$102,0))*고양시_Modal_split!E$3 * 0.01</f>
        <v>17.027953178351869</v>
      </c>
      <c r="AR114" s="303">
        <f>INDEX($A$102:$H$115,MATCH($L114,$B$102:$B$115,0),MATCH($AO$101,$A$102:$H$102,0))*고양시_Modal_split!F$3 * 0.01</f>
        <v>27.44223737179027</v>
      </c>
      <c r="AS114" s="303">
        <f>INDEX($A$102:$H$115,MATCH($L114,$B$102:$B$115,0),MATCH($AO$101,$A$102:$H$102,0))*고양시_Modal_split!G$3 * 0.01</f>
        <v>2.7532015683802671</v>
      </c>
      <c r="AT114" s="303">
        <f>INDEX($A$102:$H$115,MATCH($L114,$B$102:$B$115,0),MATCH($AO$101,$A$102:$H$102,0))*고양시_Modal_split!H$3 * 0.01</f>
        <v>2.9926104004133341E-2</v>
      </c>
      <c r="AU114" s="303">
        <f>INDEX($A$102:$H$115,MATCH($L114,$B$102:$B$115,0),MATCH($AO$101,$A$102:$H$102,0))*고양시_Modal_split!I$3 * 0.01</f>
        <v>8.3194569131490681</v>
      </c>
      <c r="AV114" s="303">
        <f>INDEX($A$102:$H$115,MATCH($L114,$B$102:$B$115,0),MATCH($AO$101,$A$102:$H$102,0))*고양시_Modal_split!J$3 * 0.01</f>
        <v>91.095060588581887</v>
      </c>
      <c r="AW114" s="303">
        <f>INDEX($A$102:$H$115,MATCH($L114,$B$102:$B$115,0),MATCH($AO$101,$A$102:$H$102,0))*고양시_Modal_split!K$3 * 0.01</f>
        <v>0.44889156006200004</v>
      </c>
      <c r="AX114" s="303">
        <f>INDEX($A$102:$H$115,MATCH($L114,$B$102:$B$115,0),MATCH($AO$101,$A$102:$H$102,0))*고양시_Modal_split!L$3 * 0.01</f>
        <v>9.0376834092482685</v>
      </c>
      <c r="AY114" s="303">
        <f>INDEX($A$102:$H$115,MATCH($L114,$B$102:$B$115,0),MATCH($AO$101,$A$102:$H$102,0))*고양시_Modal_split!M$3 * 0.01</f>
        <v>0.68830039209506677</v>
      </c>
      <c r="AZ114" s="303">
        <f>INDEX($A$102:$H$115,MATCH($L114,$B$102:$B$115,0),MATCH($AO$101,$A$102:$H$102,0))*고양시_Modal_split!N$3 * 0.01</f>
        <v>0.29926104004133341</v>
      </c>
      <c r="BA114" s="207">
        <f>INDEX($A$102:$H$115,MATCH($L114,$B$102:$B$115,0),MATCH($AO$101,$A$102:$H$102,0))*고양시_Modal_split!O$3 * 0.01</f>
        <v>0.53866987207440009</v>
      </c>
      <c r="BB114" s="207">
        <f>INDEX($A$102:$H$115,MATCH($L114,$B$102:$B$115,0),MATCH($AO$101,$A$102:$H$102,0))*고양시_Modal_split!P$3 * 0.01</f>
        <v>299.26104004133339</v>
      </c>
      <c r="BC114" s="207">
        <f>INDEX($A$102:$H$115,MATCH($L114,$B$102:$B$115,0),MATCH($BC$101,$A$102:$H$102,0))*고양시_Modal_split!C$3 * 0.01</f>
        <v>2.2723550159070649E-3</v>
      </c>
      <c r="BD114" s="207">
        <f>INDEX($A$102:$H$115,MATCH($L114,$B$102:$B$115,0),MATCH($BC$101,$A$102:$H$102,0))*고양시_Modal_split!D$3 * 0.01</f>
        <v>0.38167448713610458</v>
      </c>
      <c r="BE114" s="207">
        <f>INDEX($A$102:$H$115,MATCH($L114,$B$102:$B$115,0),MATCH($BC$101,$A$102:$H$102,0))*고양시_Modal_split!E$3 * 0.01</f>
        <v>4.6177500144682852E-2</v>
      </c>
      <c r="BF114" s="207">
        <f>INDEX($A$102:$H$115,MATCH($L114,$B$102:$B$115,0),MATCH($BC$101,$A$102:$H$102,0))*고양시_Modal_split!F$3 * 0.01</f>
        <v>7.4419626770956371E-2</v>
      </c>
      <c r="BG114" s="207">
        <f>INDEX($A$102:$H$115,MATCH($L114,$B$102:$B$115,0),MATCH($BC$101,$A$102:$H$102,0))*고양시_Modal_split!G$3 * 0.01</f>
        <v>7.4663093379803563E-3</v>
      </c>
      <c r="BH114" s="207">
        <f>INDEX($A$102:$H$115,MATCH($L114,$B$102:$B$115,0),MATCH($BC$101,$A$102:$H$102,0))*고양시_Modal_split!H$3 * 0.01</f>
        <v>8.1155536282395192E-5</v>
      </c>
      <c r="BI114" s="207">
        <f>INDEX($A$102:$H$115,MATCH($L114,$B$102:$B$115,0),MATCH($BC$101,$A$102:$H$102,0))*고양시_Modal_split!I$3 * 0.01</f>
        <v>2.2561239086505862E-2</v>
      </c>
      <c r="BJ114" s="207">
        <f>INDEX($A$102:$H$115,MATCH($L114,$B$102:$B$115,0),MATCH($BC$101,$A$102:$H$102,0))*고양시_Modal_split!J$3 * 0.01</f>
        <v>0.24703745244361094</v>
      </c>
      <c r="BK114" s="207">
        <f>INDEX($A$102:$H$115,MATCH($L114,$B$102:$B$115,0),MATCH($BC$101,$A$102:$H$102,0))*고양시_Modal_split!K$3 * 0.01</f>
        <v>1.2173330442359276E-3</v>
      </c>
      <c r="BL114" s="207">
        <f>INDEX($A$102:$H$115,MATCH($L114,$B$102:$B$115,0),MATCH($BC$101,$A$102:$H$102,0))*고양시_Modal_split!L$3 * 0.01</f>
        <v>2.4508971957283344E-2</v>
      </c>
      <c r="BM114" s="207">
        <f>INDEX($A$102:$H$115,MATCH($L114,$B$102:$B$115,0),MATCH($BC$101,$A$102:$H$102,0))*고양시_Modal_split!M$3 * 0.01</f>
        <v>1.8665773344950891E-3</v>
      </c>
      <c r="BN114" s="207">
        <f>INDEX($A$102:$H$115,MATCH($L114,$B$102:$B$115,0),MATCH($BC$101,$A$102:$H$102,0))*고양시_Modal_split!N$3 * 0.01</f>
        <v>8.1155536282395192E-4</v>
      </c>
      <c r="BO114" s="207">
        <f>INDEX($A$102:$H$115,MATCH($L114,$B$102:$B$115,0),MATCH($BC$101,$A$102:$H$102,0))*고양시_Modal_split!O$3 * 0.01</f>
        <v>1.4607996530831132E-3</v>
      </c>
      <c r="BP114" s="207">
        <f>INDEX($A$102:$H$115,MATCH($L114,$B$102:$B$115,0),MATCH($BC$101,$A$102:$H$102,0))*고양시_Modal_split!P$3 * 0.01</f>
        <v>0.8115553628239518</v>
      </c>
      <c r="BQ114" s="207">
        <f>INDEX($A$102:$H$115,MATCH($L114,$B$102:$B$115,0),MATCH($BQ$101,$A$102:$H$102,0))*고양시_Modal_split!C$3 * 0.01</f>
        <v>6.4383392117367032E-3</v>
      </c>
      <c r="BR114" s="207">
        <f>INDEX($A$102:$H$115,MATCH($L114,$B$102:$B$115,0),MATCH($BQ$101,$A$102:$H$102,0))*고양시_Modal_split!D$3 * 0.01</f>
        <v>1.0814110468856328</v>
      </c>
      <c r="BS114" s="207">
        <f>INDEX($A$102:$H$115,MATCH($L114,$B$102:$B$115,0),MATCH($BQ$101,$A$102:$H$102,0))*고양시_Modal_split!E$3 * 0.01</f>
        <v>0.13083625040993516</v>
      </c>
      <c r="BT114" s="207">
        <f>INDEX($A$102:$H$115,MATCH($L114,$B$102:$B$115,0),MATCH($BQ$101,$A$102:$H$102,0))*고양시_Modal_split!F$3 * 0.01</f>
        <v>0.21085560918437707</v>
      </c>
      <c r="BU114" s="207">
        <f>INDEX($A$102:$H$115,MATCH($L114,$B$102:$B$115,0),MATCH($BQ$101,$A$102:$H$102,0))*고양시_Modal_split!G$3 * 0.01</f>
        <v>2.1154543124277742E-2</v>
      </c>
      <c r="BV114" s="207">
        <f>INDEX($A$102:$H$115,MATCH($L114,$B$102:$B$115,0),MATCH($BQ$101,$A$102:$H$102,0))*고양시_Modal_split!H$3 * 0.01</f>
        <v>2.2994068613345375E-4</v>
      </c>
      <c r="BW114" s="207">
        <f>INDEX($A$102:$H$115,MATCH($L114,$B$102:$B$115,0),MATCH($BQ$101,$A$102:$H$102,0))*고양시_Modal_split!I$3 * 0.01</f>
        <v>6.3923510745100137E-2</v>
      </c>
      <c r="BX114" s="207">
        <f>INDEX($A$102:$H$115,MATCH($L114,$B$102:$B$115,0),MATCH($BQ$101,$A$102:$H$102,0))*고양시_Modal_split!J$3 * 0.01</f>
        <v>0.69993944859023316</v>
      </c>
      <c r="BY114" s="207">
        <f>INDEX($A$102:$H$115,MATCH($L114,$B$102:$B$115,0),MATCH($BQ$101,$A$102:$H$102,0))*고양시_Modal_split!K$3 * 0.01</f>
        <v>3.449110292001806E-3</v>
      </c>
      <c r="BZ114" s="207">
        <f>INDEX($A$102:$H$115,MATCH($L114,$B$102:$B$115,0),MATCH($BQ$101,$A$102:$H$102,0))*고양시_Modal_split!L$3 * 0.01</f>
        <v>6.9442087212303036E-2</v>
      </c>
      <c r="CA114" s="207">
        <f>INDEX($A$102:$H$115,MATCH($L114,$B$102:$B$115,0),MATCH($BQ$101,$A$102:$H$102,0))*고양시_Modal_split!M$3 * 0.01</f>
        <v>5.2886357810694356E-3</v>
      </c>
      <c r="CB114" s="207">
        <f>INDEX($A$102:$H$115,MATCH($L114,$B$102:$B$115,0),MATCH($BQ$101,$A$102:$H$102,0))*고양시_Modal_split!N$3 * 0.01</f>
        <v>2.2994068613345375E-3</v>
      </c>
      <c r="CC114" s="207">
        <f>INDEX($A$102:$H$115,MATCH($L114,$B$102:$B$115,0),MATCH($BQ$101,$A$102:$H$102,0))*고양시_Modal_split!O$3 * 0.01</f>
        <v>4.138932350402167E-3</v>
      </c>
      <c r="CD114" s="207">
        <f>INDEX($A$102:$H$115,MATCH($L114,$B$102:$B$115,0),MATCH($BQ$101,$A$102:$H$102,0))*고양시_Modal_split!P$3 * 0.01</f>
        <v>2.2994068613345373</v>
      </c>
      <c r="CE114" s="304">
        <f t="shared" si="51"/>
        <v>22.181782850694894</v>
      </c>
      <c r="CF114" s="304">
        <f t="shared" si="47"/>
        <v>3725.7473123863601</v>
      </c>
      <c r="CG114" s="304">
        <f t="shared" si="47"/>
        <v>450.76551578733546</v>
      </c>
      <c r="CH114" s="304">
        <f t="shared" si="47"/>
        <v>726.45338836025769</v>
      </c>
      <c r="CI114" s="304">
        <f t="shared" si="47"/>
        <v>72.883000795140362</v>
      </c>
      <c r="CJ114" s="304">
        <f t="shared" si="47"/>
        <v>0.79220653038196054</v>
      </c>
      <c r="CK114" s="304">
        <f t="shared" si="47"/>
        <v>220.23341544618498</v>
      </c>
      <c r="CL114" s="304">
        <f t="shared" si="47"/>
        <v>2411.4766784826879</v>
      </c>
      <c r="CM114" s="304">
        <f t="shared" si="47"/>
        <v>11.883097955729406</v>
      </c>
      <c r="CN114" s="304">
        <f t="shared" si="47"/>
        <v>239.24637217535206</v>
      </c>
      <c r="CO114" s="304">
        <f t="shared" si="47"/>
        <v>18.22075019878509</v>
      </c>
      <c r="CP114" s="304">
        <f t="shared" si="47"/>
        <v>7.9220653038196049</v>
      </c>
      <c r="CQ114" s="304">
        <f t="shared" si="47"/>
        <v>14.259717546875288</v>
      </c>
      <c r="CR114" s="304">
        <f t="shared" si="47"/>
        <v>7922.0653038196051</v>
      </c>
      <c r="CS114" s="305">
        <f t="shared" si="52"/>
        <v>0</v>
      </c>
      <c r="CV114" s="267"/>
      <c r="CW114" s="267" t="s">
        <v>47</v>
      </c>
      <c r="CX114" s="267">
        <f>INDEX($M$101:$Z$115,MATCH($CW114,$L$101:$L$115,0),MATCH(CX$102,$M$102:$Z$102,0))/INDEX(고양시_재차인원!$D$4:$H$35,MATCH("고양시",고양시_재차인원!$B$4:$B$35,0),MATCH($CX$101,고양시_재차인원!$D$4:$H$4,0))</f>
        <v>364.57865073313383</v>
      </c>
      <c r="CY114" s="267">
        <f>INDEX($M$101:$Z$115,MATCH($CW114,$L$101:$L$115,0),MATCH(CY$102,$M$102:$Z$102,0))/INDEX(고양시_재차인원!$K$4:$O$20,MATCH("경기도",고양시_재차인원!$K$4:$K$20,0),MATCH(CY$102,고양시_재차인원!$K$4:$O$4,0))</f>
        <v>3.0157310836904918E-3</v>
      </c>
      <c r="CZ114" s="267">
        <f>INDEX($M$101:$Z$115,MATCH($CW114,$L$101:$L$115,0),MATCH(CZ$102,$M$102:$Z$102,0))/INDEX(고양시_재차인원!$K$4:$O$20,MATCH("경기도",고양시_재차인원!$K$4:$K$20,0),MATCH(CZ$102,고양시_재차인원!$K$4:$O$4,0))</f>
        <v>0.83837324126595691</v>
      </c>
      <c r="DA114" s="267">
        <f>INDEX($M$101:$Z$115,MATCH($CW114,$L$101:$L$115,0),MATCH(DA$102,$M$102:$Z$102,0))/INDEX(고양시_재차인원!$D$4:$H$35,MATCH("고양시",고양시_재차인원!$B$4:$B$35,0),MATCH($CX$101,고양시_재차인원!$D$4:$H$4,0))</f>
        <v>23.411174255030069</v>
      </c>
      <c r="DB114" s="267">
        <f>INDEX($AA$101:$AN$115,MATCH($CW114,$L$101:$L$115,0),MATCH(DB$102,$AA$102:$AN$102,0))/INDEX(고양시_재차인원!$D$4:$H$35,MATCH("고양시",고양시_재차인원!$B$4:$B$35,0),MATCH($DB$101,고양시_재차인원!$D$4:$H$4,0))</f>
        <v>2251.924589290631</v>
      </c>
      <c r="DC114" s="267">
        <f>INDEX($AA$101:$AN$115,MATCH($CW114,$L$101:$L$115,0),MATCH(DC$102,$AA$102:$AN$102,0))/INDEX(고양시_재차인원!$K$4:$O$20,MATCH("경기도",고양시_재차인원!$K$4:$K$20,0),MATCH(DC$102,고양시_재차인원!$K$4:$O$4,0))</f>
        <v>2.3450727066896913E-2</v>
      </c>
      <c r="DD114" s="267">
        <f>INDEX($AA$101:$AN$115,MATCH($CW114,$L$101:$L$115,0),MATCH(DD$102,$AA$102:$AN$102,0))/INDEX(고양시_재차인원!$K$4:$O$20,MATCH("경기도",고양시_재차인원!$K$4:$K$20,0),MATCH(DD$102,고양시_재차인원!$K$4:$O$4,0))</f>
        <v>6.5193021245973402</v>
      </c>
      <c r="DE114" s="267">
        <f>INDEX($AA$101:$AN$115,MATCH($CW114,$L$101:$L$115,0),MATCH(DE$102,$AA$102:$AN$102,0))/INDEX(고양시_재차인원!$D$4:$H$35,MATCH("고양시",고양시_재차인원!$B$4:$B$35,0),MATCH($DB$101,고양시_재차인원!$D$4:$H$4,0))</f>
        <v>144.60583158957485</v>
      </c>
      <c r="DF114" s="267">
        <f>INDEX($AO$101:$BB$115,MATCH($CW114,$L$101:$L$115,0),MATCH(DF$102,$AO$102:$BB$102,0))/INDEX(고양시_재차인원!$D$4:$H$35,MATCH("고양시",고양시_재차인원!$B$4:$B$35,0),MATCH($DF$101,고양시_재차인원!$D$4:$H$4,0))</f>
        <v>108.26343625495315</v>
      </c>
      <c r="DG114" s="267">
        <f>INDEX($AO$101:$BB$115,MATCH($CW114,$L$101:$L$115,0),MATCH(DG$102,$AO$102:$BB$102,0))/INDEX(고양시_재차인원!$K$4:$O$20,MATCH("경기도",고양시_재차인원!$K$4:$K$20,0),MATCH(DG$102,고양시_재차인원!$K$4:$O$4,0))</f>
        <v>1.0394617576982752E-3</v>
      </c>
      <c r="DH114" s="267">
        <f>INDEX($AO$101:$BB$115,MATCH($CW114,$L$101:$L$115,0),MATCH(DH$102,$AO$102:$BB$102,0))/INDEX(고양시_재차인원!$K$4:$O$20,MATCH("경기도",고양시_재차인원!$K$4:$K$20,0),MATCH(DH$102,고양시_재차인원!$K$4:$O$4,0))</f>
        <v>0.28897036864012049</v>
      </c>
      <c r="DI114" s="267">
        <f>INDEX($AO$101:$BB$115,MATCH($CW114,$L$101:$L$115,0),MATCH(DI$102,$AO$102:$BB$102,0))/INDEX(고양시_재차인원!$D$4:$H$35,MATCH("고양시",고양시_재차인원!$B$4:$B$35,0),MATCH($DF$101,고양시_재차인원!$D$4:$H$4,0))</f>
        <v>6.9520641609602061</v>
      </c>
      <c r="DJ114" s="267">
        <f>INDEX($BC$101:$BP$115,MATCH($CW114,$L$101:$L$115,0),MATCH(DJ$102,$BC$102:$BP$102,0))/INDEX(고양시_재차인원!$D$4:$H$35,MATCH("고양시",고양시_재차인원!$B$4:$B$35,0),MATCH($DJ$101,고양시_재차인원!$D$4:$H$4,0))</f>
        <v>0.2806430052471357</v>
      </c>
      <c r="DK114" s="267">
        <f>INDEX($BC$101:$BP$115,MATCH($CW114,$L$101:$L$115,0),MATCH(DK$102,$BC$102:$BP$102,0))/INDEX(고양시_재차인원!$K$4:$O$20,MATCH("경기도",고양시_재차인원!$K$4:$K$20,0),MATCH(DK$102,고양시_재차인원!$K$4:$O$4,0))</f>
        <v>2.818879342910566E-6</v>
      </c>
      <c r="DL114" s="267">
        <f>INDEX($BC$101:$BP$115,MATCH($CW114,$L$101:$L$115,0),MATCH(DL$102,$BC$102:$BP$102,0))/INDEX(고양시_재차인원!$K$4:$O$20,MATCH("경기도",고양시_재차인원!$K$4:$K$20,0),MATCH(DL$102,고양시_재차인원!$K$4:$O$4,0))</f>
        <v>7.836484573291373E-4</v>
      </c>
      <c r="DM114" s="267">
        <f>INDEX($BC$101:$BP$115,MATCH($CW114,$L$101:$L$115,0),MATCH(DM$102,$BC$102:$BP$102,0))/INDEX(고양시_재차인원!$D$4:$H$35,MATCH("고양시",고양시_재차인원!$B$4:$B$35,0),MATCH($DJ$101,고양시_재차인원!$D$4:$H$4,0))</f>
        <v>1.8021302909767164E-2</v>
      </c>
      <c r="DN114" s="267">
        <f>INDEX($BQ$101:$CD$115,MATCH($CW114,$L$101:$L$115,0),MATCH(DN$102,$BQ$102:$CD$102,0))/INDEX(고양시_재차인원!$D$4:$H$35,MATCH("고양시",고양시_재차인원!$B$4:$B$35,0),MATCH($DN$101,고양시_재차인원!$D$4:$H$4,0))</f>
        <v>0.85826273562351807</v>
      </c>
      <c r="DO114" s="267">
        <f>INDEX($BQ$101:$CD$115,MATCH($CW114,$L$101:$L$115,0),MATCH(DO$102,$BQ$102:$CD$102,0))/INDEX(고양시_재차인원!$K$4:$O$20,MATCH("경기도",고양시_재차인원!$K$4:$K$20,0),MATCH(DO$102,고양시_재차인원!$K$4:$O$4,0))</f>
        <v>7.9868248049132939E-6</v>
      </c>
      <c r="DP114" s="267">
        <f>INDEX($BQ$101:$CD$115,MATCH($CW114,$L$101:$L$115,0),MATCH(DP$102,$BQ$102:$CD$102,0))/INDEX(고양시_재차인원!$K$4:$O$20,MATCH("경기도",고양시_재차인원!$K$4:$K$20,0),MATCH(DP$102,고양시_재차인원!$K$4:$O$4,0))</f>
        <v>2.2203372957658959E-3</v>
      </c>
      <c r="DQ114" s="267">
        <f>INDEX($BQ$101:$CD$115,MATCH($CW114,$L$101:$L$115,0),MATCH(DQ$102,$BQ$102:$CD$102,0))/INDEX(고양시_재차인원!$D$4:$H$35,MATCH("고양시",고양시_재차인원!$B$4:$B$35,0),MATCH($DN$101,고양시_재차인원!$D$4:$H$4,0))</f>
        <v>5.5112767628811933E-2</v>
      </c>
      <c r="DR114" s="270">
        <f t="shared" si="53"/>
        <v>2725.905582019589</v>
      </c>
      <c r="DS114" s="270">
        <f t="shared" si="48"/>
        <v>2.7516725612433502E-2</v>
      </c>
      <c r="DT114" s="270">
        <f t="shared" si="48"/>
        <v>7.6496497202565124</v>
      </c>
      <c r="DU114" s="270">
        <f t="shared" si="48"/>
        <v>175.0422040761037</v>
      </c>
      <c r="DW114" s="278"/>
      <c r="DX114" s="278" t="s">
        <v>47</v>
      </c>
      <c r="DY114" s="281">
        <f t="shared" si="54"/>
        <v>2900.9477860956927</v>
      </c>
      <c r="DZ114" s="281">
        <f t="shared" si="55"/>
        <v>7.6771664458689459</v>
      </c>
      <c r="EB114" s="278"/>
      <c r="EC114" s="278" t="s">
        <v>47</v>
      </c>
      <c r="ED114" s="281">
        <f t="shared" si="56"/>
        <v>2900.9477860956927</v>
      </c>
      <c r="EE114" s="281">
        <f t="shared" si="49"/>
        <v>7.6771664458689459</v>
      </c>
      <c r="EL114" s="306" t="s">
        <v>667</v>
      </c>
      <c r="EM114" s="306" t="s">
        <v>372</v>
      </c>
      <c r="EN114" s="306">
        <v>20007.53</v>
      </c>
      <c r="EO114" s="306">
        <v>0.10773467325274116</v>
      </c>
      <c r="EP114" s="307">
        <v>849112</v>
      </c>
      <c r="EQ114" s="308">
        <f t="shared" si="57"/>
        <v>484.05135399559828</v>
      </c>
      <c r="ER114" s="308">
        <f t="shared" si="58"/>
        <v>1.2810098929680827</v>
      </c>
      <c r="ET114" s="420" t="s">
        <v>667</v>
      </c>
      <c r="EU114" s="420" t="s">
        <v>372</v>
      </c>
      <c r="EV114" s="420">
        <v>20007.53</v>
      </c>
      <c r="EW114" s="420">
        <v>0.10773467325274116</v>
      </c>
      <c r="EX114" s="421">
        <v>849112</v>
      </c>
      <c r="EY114" s="422">
        <f t="shared" si="59"/>
        <v>470.25589040672372</v>
      </c>
      <c r="EZ114" s="422">
        <f t="shared" si="60"/>
        <v>1.2445011110184923</v>
      </c>
      <c r="FA114">
        <v>0</v>
      </c>
      <c r="FD114" s="306" t="s">
        <v>667</v>
      </c>
      <c r="FE114" s="306" t="s">
        <v>372</v>
      </c>
      <c r="FF114" s="306">
        <v>20007.53</v>
      </c>
      <c r="FG114" s="306">
        <v>0.10773467325274116</v>
      </c>
      <c r="FH114" s="307">
        <v>849112</v>
      </c>
      <c r="FI114" s="308">
        <f t="shared" si="61"/>
        <v>470.25589040672372</v>
      </c>
      <c r="FJ114" s="308">
        <f t="shared" si="50"/>
        <v>1.2445011110184923</v>
      </c>
      <c r="FL114" s="101"/>
      <c r="FM114" s="101"/>
      <c r="FN114" s="101"/>
      <c r="FO114" s="101"/>
      <c r="FP114" s="374"/>
      <c r="FQ114" s="404"/>
      <c r="FR114" s="404"/>
    </row>
    <row r="115" spans="1:174">
      <c r="A115" s="205"/>
      <c r="B115" s="205" t="s">
        <v>676</v>
      </c>
      <c r="C115" s="400">
        <f>$AB73*KTDB_TripDistribution_2035!L$12 * (1+KTDB_발생량도착량_증가율!$C$8*2) * (1+KTDB_발생량도착량_증가율!$D$7*5) * (1+KTDB_발생량도착량_증가율!$E$7*5)</f>
        <v>5562.9444715907057</v>
      </c>
      <c r="D115" s="400">
        <f>$AB73*KTDB_TripDistribution_2035!M$12 * (1+KTDB_발생량도착량_증가율!$C$8*2) * (1+KTDB_발생량도착량_증가율!$D$7*5) * (1+KTDB_발생량도착량_증가율!$E$7*5)</f>
        <v>43258.198052570602</v>
      </c>
      <c r="E115" s="400">
        <f>$AB73*KTDB_TripDistribution_2035!N$12 * (1+KTDB_발생량도착량_증가율!$C$8*2) * (1+KTDB_발생량도착량_증가율!$D$7*5) * (1+KTDB_발생량도착량_증가율!$E$7*5)</f>
        <v>1917.4349031616234</v>
      </c>
      <c r="F115" s="400">
        <f>$AB73*KTDB_TripDistribution_2035!O$12 * (1+KTDB_발생량도착량_증가율!$C$8*2) * (1+KTDB_발생량도착량_증가율!$D$7*5) * (1+KTDB_발생량도착량_증가율!$E$7*5)</f>
        <v>5.1998234662009928</v>
      </c>
      <c r="G115" s="400">
        <f>$AB73*KTDB_TripDistribution_2035!P$12 * (1+KTDB_발생량도착량_증가율!$C$8*2) * (1+KTDB_발생량도착량_증가율!$D$7*5) * (1+KTDB_발생량도착량_증가율!$E$7*5)</f>
        <v>14.732833154236189</v>
      </c>
      <c r="H115" s="400">
        <f>$AB73*KTDB_TripDistribution_2035!Q$12 * (1+KTDB_발생량도착량_증가율!$C$8*2) * (1+KTDB_발생량도착량_증가율!$D$7*5) * (1+KTDB_발생량도착량_증가율!$E$7*5)</f>
        <v>50758.510083943365</v>
      </c>
      <c r="I115" t="b">
        <f>H115=$AB$73 * (1+KTDB_발생량도착량_증가율!$C$8*2)</f>
        <v>0</v>
      </c>
      <c r="J115" s="230">
        <f>CR115</f>
        <v>50758.51008394338</v>
      </c>
      <c r="K115" s="206"/>
      <c r="L115" s="206" t="s">
        <v>26</v>
      </c>
      <c r="M115" s="206">
        <f>INDEX($A$102:$H$115,MATCH($L115,$B$102:$B$115,0),MATCH($M$101,$A$102:$H$102,0))*고양시_Modal_split!C$3 * 0.01</f>
        <v>15.576244520453974</v>
      </c>
      <c r="N115" s="206">
        <f>INDEX($A$102:$H$115,MATCH($L115,$B$102:$B$115,0),MATCH($M$101,$A$102:$H$102,0))*고양시_Modal_split!D$3 * 0.01</f>
        <v>2616.2527849891089</v>
      </c>
      <c r="O115" s="206">
        <f>INDEX($A$102:$H$115,MATCH($L115,$B$102:$B$115,0),MATCH($M$101,$A$102:$H$102,0))*고양시_Modal_split!E$3 * 0.01</f>
        <v>316.53154043351111</v>
      </c>
      <c r="P115" s="206">
        <f>INDEX($A$102:$H$115,MATCH($L115,$B$102:$B$115,0),MATCH($M$101,$A$102:$H$102,0))*고양시_Modal_split!F$3 * 0.01</f>
        <v>510.1220080448677</v>
      </c>
      <c r="Q115" s="206">
        <f>INDEX($A$102:$H$115,MATCH($L115,$B$102:$B$115,0),MATCH($M$101,$A$102:$H$102,0))*고양시_Modal_split!G$3 * 0.01</f>
        <v>51.179089138634488</v>
      </c>
      <c r="R115" s="206">
        <f>INDEX($A$102:$H$115,MATCH($L115,$B$102:$B$115,0),MATCH($M$101,$A$102:$H$102,0))*고양시_Modal_split!H$3 * 0.01</f>
        <v>0.55629444715907062</v>
      </c>
      <c r="S115" s="206">
        <f>INDEX($A$102:$H$115,MATCH($L115,$B$102:$B$115,0),MATCH($M$101,$A$102:$H$102,0))*고양시_Modal_split!I$3 * 0.01</f>
        <v>154.64985631022159</v>
      </c>
      <c r="T115" s="206">
        <f>INDEX($A$102:$H$115,MATCH($L115,$B$102:$B$115,0),MATCH($M$101,$A$102:$H$102,0))*고양시_Modal_split!J$3 * 0.01</f>
        <v>1693.3602971522109</v>
      </c>
      <c r="U115" s="206">
        <f>INDEX($A$102:$H$115,MATCH($L115,$B$102:$B$115,0),MATCH($M$101,$A$102:$H$102,0))*고양시_Modal_split!K$3 * 0.01</f>
        <v>8.344416707386058</v>
      </c>
      <c r="V115" s="206">
        <f>INDEX($A$102:$H$115,MATCH($L115,$B$102:$B$115,0),MATCH($M$101,$A$102:$H$102,0))*고양시_Modal_split!L$3 * 0.01</f>
        <v>168.00092304203932</v>
      </c>
      <c r="W115" s="206">
        <f>INDEX($A$102:$H$115,MATCH($L115,$B$102:$B$115,0),MATCH($M$101,$A$102:$H$102,0))*고양시_Modal_split!M$3 * 0.01</f>
        <v>12.794772284658622</v>
      </c>
      <c r="X115" s="206">
        <f>INDEX($A$102:$H$115,MATCH($L115,$B$102:$B$115,0),MATCH($M$101,$A$102:$H$102,0))*고양시_Modal_split!N$3 * 0.01</f>
        <v>5.5629444715907059</v>
      </c>
      <c r="Y115" s="206">
        <f>INDEX($A$102:$H$115,MATCH($L115,$B$102:$B$115,0),MATCH($M$101,$A$102:$H$102,0))*고양시_Modal_split!O$3 * 0.01</f>
        <v>10.01330004886327</v>
      </c>
      <c r="Z115" s="209">
        <f>INDEX($A$102:$H$115,MATCH($L115,$B$102:$B$115,0),MATCH($M$101,$A$102:$H$102,0))*고양시_Modal_split!P$3 * 0.01</f>
        <v>5562.9444715907057</v>
      </c>
      <c r="AA115" s="207">
        <f>INDEX($A$102:$H$115,MATCH($L115,$B$102:$B$115,0),MATCH($AA$101,$A$102:$H$102,0))*고양시_Modal_split!C$3 * 0.01</f>
        <v>121.12295454719768</v>
      </c>
      <c r="AB115" s="207">
        <f>INDEX($A$102:$H$115,MATCH($L115,$B$102:$B$115,0),MATCH($AA$101,$A$102:$H$102,0))*고양시_Modal_split!D$3 * 0.01</f>
        <v>20344.330544123954</v>
      </c>
      <c r="AC115" s="207">
        <f>INDEX($A$102:$H$115,MATCH($L115,$B$102:$B$115,0),MATCH($AA$101,$A$102:$H$102,0))*고양시_Modal_split!E$3 * 0.01</f>
        <v>2461.3914691912673</v>
      </c>
      <c r="AD115" s="207">
        <f>INDEX($A$102:$H$115,MATCH($L115,$B$102:$B$115,0),MATCH($AA$101,$A$102:$H$102,0))*고양시_Modal_split!F$3 * 0.01</f>
        <v>3966.7767614207241</v>
      </c>
      <c r="AE115" s="207">
        <f>INDEX($A$102:$H$115,MATCH($L115,$B$102:$B$115,0),MATCH($AA$101,$A$102:$H$102,0))*고양시_Modal_split!G$3 * 0.01</f>
        <v>397.97542208364956</v>
      </c>
      <c r="AF115" s="207">
        <f>INDEX($A$102:$H$115,MATCH($L115,$B$102:$B$115,0),MATCH($AA$101,$A$102:$H$102,0))*고양시_Modal_split!H$3 * 0.01</f>
        <v>4.3258198052570611</v>
      </c>
      <c r="AG115" s="207">
        <f>INDEX($A$102:$H$115,MATCH($L115,$B$102:$B$115,0),MATCH($AA$101,$A$102:$H$102,0))*고양시_Modal_split!I$3 * 0.01</f>
        <v>1202.5779058614626</v>
      </c>
      <c r="AH115" s="207">
        <f>INDEX($A$102:$H$115,MATCH($L115,$B$102:$B$115,0),MATCH($AA$101,$A$102:$H$102,0))*고양시_Modal_split!J$3 * 0.01</f>
        <v>13167.795487202493</v>
      </c>
      <c r="AI115" s="207">
        <f>INDEX($A$102:$H$115,MATCH($L115,$B$102:$B$115,0),MATCH($AA$101,$A$102:$H$102,0))*고양시_Modal_split!K$3 * 0.01</f>
        <v>64.887297078855894</v>
      </c>
      <c r="AJ115" s="207">
        <f>INDEX($A$102:$H$115,MATCH($L115,$B$102:$B$115,0),MATCH($AA$101,$A$102:$H$102,0))*고양시_Modal_split!L$3 * 0.01</f>
        <v>1306.3975811876321</v>
      </c>
      <c r="AK115" s="207">
        <f>INDEX($A$102:$H$115,MATCH($L115,$B$102:$B$115,0),MATCH($AA$101,$A$102:$H$102,0))*고양시_Modal_split!M$3 * 0.01</f>
        <v>99.49385552091239</v>
      </c>
      <c r="AL115" s="207">
        <f>INDEX($A$102:$H$115,MATCH($L115,$B$102:$B$115,0),MATCH($AA$101,$A$102:$H$102,0))*고양시_Modal_split!N$3 * 0.01</f>
        <v>43.258198052570606</v>
      </c>
      <c r="AM115" s="207">
        <f>INDEX($A$102:$H$115,MATCH($L115,$B$102:$B$115,0),MATCH($AA$101,$A$102:$H$102,0))*고양시_Modal_split!O$3 * 0.01</f>
        <v>77.864756494627088</v>
      </c>
      <c r="AN115" s="207">
        <f>INDEX($A$102:$H$115,MATCH($L115,$B$102:$B$115,0),MATCH($AA$101,$A$102:$H$102,0))*고양시_Modal_split!P$3 * 0.01</f>
        <v>43258.198052570609</v>
      </c>
      <c r="AO115" s="303">
        <f>INDEX($A$102:$H$115,MATCH($L115,$B$102:$B$115,0),MATCH($AO$101,$A$102:$H$102,0))*고양시_Modal_split!C$3 * 0.01</f>
        <v>5.3688177288525445</v>
      </c>
      <c r="AP115" s="303">
        <f>INDEX($A$102:$H$115,MATCH($L115,$B$102:$B$115,0),MATCH($AO$101,$A$102:$H$102,0))*고양시_Modal_split!D$3 * 0.01</f>
        <v>901.76963495691143</v>
      </c>
      <c r="AQ115" s="303">
        <f>INDEX($A$102:$H$115,MATCH($L115,$B$102:$B$115,0),MATCH($AO$101,$A$102:$H$102,0))*고양시_Modal_split!E$3 * 0.01</f>
        <v>109.10204598989637</v>
      </c>
      <c r="AR115" s="303">
        <f>INDEX($A$102:$H$115,MATCH($L115,$B$102:$B$115,0),MATCH($AO$101,$A$102:$H$102,0))*고양시_Modal_split!F$3 * 0.01</f>
        <v>175.82878061992088</v>
      </c>
      <c r="AS115" s="303">
        <f>INDEX($A$102:$H$115,MATCH($L115,$B$102:$B$115,0),MATCH($AO$101,$A$102:$H$102,0))*고양시_Modal_split!G$3 * 0.01</f>
        <v>17.640401109086934</v>
      </c>
      <c r="AT115" s="303">
        <f>INDEX($A$102:$H$115,MATCH($L115,$B$102:$B$115,0),MATCH($AO$101,$A$102:$H$102,0))*고양시_Modal_split!H$3 * 0.01</f>
        <v>0.19174349031616233</v>
      </c>
      <c r="AU115" s="303">
        <f>INDEX($A$102:$H$115,MATCH($L115,$B$102:$B$115,0),MATCH($AO$101,$A$102:$H$102,0))*고양시_Modal_split!I$3 * 0.01</f>
        <v>53.304690307893125</v>
      </c>
      <c r="AV115" s="303">
        <f>INDEX($A$102:$H$115,MATCH($L115,$B$102:$B$115,0),MATCH($AO$101,$A$102:$H$102,0))*고양시_Modal_split!J$3 * 0.01</f>
        <v>583.6671845223982</v>
      </c>
      <c r="AW115" s="303">
        <f>INDEX($A$102:$H$115,MATCH($L115,$B$102:$B$115,0),MATCH($AO$101,$A$102:$H$102,0))*고양시_Modal_split!K$3 * 0.01</f>
        <v>2.8761523547424348</v>
      </c>
      <c r="AX115" s="303">
        <f>INDEX($A$102:$H$115,MATCH($L115,$B$102:$B$115,0),MATCH($AO$101,$A$102:$H$102,0))*고양시_Modal_split!L$3 * 0.01</f>
        <v>57.906534075481034</v>
      </c>
      <c r="AY115" s="303">
        <f>INDEX($A$102:$H$115,MATCH($L115,$B$102:$B$115,0),MATCH($AO$101,$A$102:$H$102,0))*고양시_Modal_split!M$3 * 0.01</f>
        <v>4.4101002772717335</v>
      </c>
      <c r="AZ115" s="303">
        <f>INDEX($A$102:$H$115,MATCH($L115,$B$102:$B$115,0),MATCH($AO$101,$A$102:$H$102,0))*고양시_Modal_split!N$3 * 0.01</f>
        <v>1.9174349031616238</v>
      </c>
      <c r="BA115" s="207">
        <f>INDEX($A$102:$H$115,MATCH($L115,$B$102:$B$115,0),MATCH($AO$101,$A$102:$H$102,0))*고양시_Modal_split!O$3 * 0.01</f>
        <v>3.451382825690922</v>
      </c>
      <c r="BB115" s="207">
        <f>INDEX($A$102:$H$115,MATCH($L115,$B$102:$B$115,0),MATCH($AO$101,$A$102:$H$102,0))*고양시_Modal_split!P$3 * 0.01</f>
        <v>1917.4349031616237</v>
      </c>
      <c r="BC115" s="207">
        <f>INDEX($A$102:$H$115,MATCH($L115,$B$102:$B$115,0),MATCH($BC$101,$A$102:$H$102,0))*고양시_Modal_split!C$3 * 0.01</f>
        <v>1.4559505705362779E-2</v>
      </c>
      <c r="BD115" s="207">
        <f>INDEX($A$102:$H$115,MATCH($L115,$B$102:$B$115,0),MATCH($BC$101,$A$102:$H$102,0))*고양시_Modal_split!D$3 * 0.01</f>
        <v>2.4454769761543269</v>
      </c>
      <c r="BE115" s="207">
        <f>INDEX($A$102:$H$115,MATCH($L115,$B$102:$B$115,0),MATCH($BC$101,$A$102:$H$102,0))*고양시_Modal_split!E$3 * 0.01</f>
        <v>0.29586995522683646</v>
      </c>
      <c r="BF115" s="207">
        <f>INDEX($A$102:$H$115,MATCH($L115,$B$102:$B$115,0),MATCH($BC$101,$A$102:$H$102,0))*고양시_Modal_split!F$3 * 0.01</f>
        <v>0.476823811850631</v>
      </c>
      <c r="BG115" s="207">
        <f>INDEX($A$102:$H$115,MATCH($L115,$B$102:$B$115,0),MATCH($BC$101,$A$102:$H$102,0))*고양시_Modal_split!G$3 * 0.01</f>
        <v>4.7838375889049135E-2</v>
      </c>
      <c r="BH115" s="207">
        <f>INDEX($A$102:$H$115,MATCH($L115,$B$102:$B$115,0),MATCH($BC$101,$A$102:$H$102,0))*고양시_Modal_split!H$3 * 0.01</f>
        <v>5.1998234662009926E-4</v>
      </c>
      <c r="BI115" s="207">
        <f>INDEX($A$102:$H$115,MATCH($L115,$B$102:$B$115,0),MATCH($BC$101,$A$102:$H$102,0))*고양시_Modal_split!I$3 * 0.01</f>
        <v>0.1445550923603876</v>
      </c>
      <c r="BJ115" s="207">
        <f>INDEX($A$102:$H$115,MATCH($L115,$B$102:$B$115,0),MATCH($BC$101,$A$102:$H$102,0))*고양시_Modal_split!J$3 * 0.01</f>
        <v>1.5828262631115824</v>
      </c>
      <c r="BK115" s="207">
        <f>INDEX($A$102:$H$115,MATCH($L115,$B$102:$B$115,0),MATCH($BC$101,$A$102:$H$102,0))*고양시_Modal_split!K$3 * 0.01</f>
        <v>7.7997351993014889E-3</v>
      </c>
      <c r="BL115" s="207">
        <f>INDEX($A$102:$H$115,MATCH($L115,$B$102:$B$115,0),MATCH($BC$101,$A$102:$H$102,0))*고양시_Modal_split!L$3 * 0.01</f>
        <v>0.15703466867926999</v>
      </c>
      <c r="BM115" s="207">
        <f>INDEX($A$102:$H$115,MATCH($L115,$B$102:$B$115,0),MATCH($BC$101,$A$102:$H$102,0))*고양시_Modal_split!M$3 * 0.01</f>
        <v>1.1959593972262284E-2</v>
      </c>
      <c r="BN115" s="207">
        <f>INDEX($A$102:$H$115,MATCH($L115,$B$102:$B$115,0),MATCH($BC$101,$A$102:$H$102,0))*고양시_Modal_split!N$3 * 0.01</f>
        <v>5.1998234662009937E-3</v>
      </c>
      <c r="BO115" s="207">
        <f>INDEX($A$102:$H$115,MATCH($L115,$B$102:$B$115,0),MATCH($BC$101,$A$102:$H$102,0))*고양시_Modal_split!O$3 * 0.01</f>
        <v>9.359682239161787E-3</v>
      </c>
      <c r="BP115" s="207">
        <f>INDEX($A$102:$H$115,MATCH($L115,$B$102:$B$115,0),MATCH($BC$101,$A$102:$H$102,0))*고양시_Modal_split!P$3 * 0.01</f>
        <v>5.1998234662009928</v>
      </c>
      <c r="BQ115" s="207">
        <f>INDEX($A$102:$H$115,MATCH($L115,$B$102:$B$115,0),MATCH($BQ$101,$A$102:$H$102,0))*고양시_Modal_split!C$3 * 0.01</f>
        <v>4.1251932831861328E-2</v>
      </c>
      <c r="BR115" s="207">
        <f>INDEX($A$102:$H$115,MATCH($L115,$B$102:$B$115,0),MATCH($BQ$101,$A$102:$H$102,0))*고양시_Modal_split!D$3 * 0.01</f>
        <v>6.9288514324372796</v>
      </c>
      <c r="BS115" s="207">
        <f>INDEX($A$102:$H$115,MATCH($L115,$B$102:$B$115,0),MATCH($BQ$101,$A$102:$H$102,0))*고양시_Modal_split!E$3 * 0.01</f>
        <v>0.83829820647603914</v>
      </c>
      <c r="BT115" s="207">
        <f>INDEX($A$102:$H$115,MATCH($L115,$B$102:$B$115,0),MATCH($BQ$101,$A$102:$H$102,0))*고양시_Modal_split!F$3 * 0.01</f>
        <v>1.3510008002434586</v>
      </c>
      <c r="BU115" s="207">
        <f>INDEX($A$102:$H$115,MATCH($L115,$B$102:$B$115,0),MATCH($BQ$101,$A$102:$H$102,0))*고양시_Modal_split!G$3 * 0.01</f>
        <v>0.13554206501897292</v>
      </c>
      <c r="BV115" s="207">
        <f>INDEX($A$102:$H$115,MATCH($L115,$B$102:$B$115,0),MATCH($BQ$101,$A$102:$H$102,0))*고양시_Modal_split!H$3 * 0.01</f>
        <v>1.4732833154236188E-3</v>
      </c>
      <c r="BW115" s="207">
        <f>INDEX($A$102:$H$115,MATCH($L115,$B$102:$B$115,0),MATCH($BQ$101,$A$102:$H$102,0))*고양시_Modal_split!I$3 * 0.01</f>
        <v>0.40957276168776602</v>
      </c>
      <c r="BX115" s="207">
        <f>INDEX($A$102:$H$115,MATCH($L115,$B$102:$B$115,0),MATCH($BQ$101,$A$102:$H$102,0))*고양시_Modal_split!J$3 * 0.01</f>
        <v>4.4846744121494968</v>
      </c>
      <c r="BY115" s="207">
        <f>INDEX($A$102:$H$115,MATCH($L115,$B$102:$B$115,0),MATCH($BQ$101,$A$102:$H$102,0))*고양시_Modal_split!K$3 * 0.01</f>
        <v>2.2099249731354284E-2</v>
      </c>
      <c r="BZ115" s="207">
        <f>INDEX($A$102:$H$115,MATCH($L115,$B$102:$B$115,0),MATCH($BQ$101,$A$102:$H$102,0))*고양시_Modal_split!L$3 * 0.01</f>
        <v>0.44493156125793293</v>
      </c>
      <c r="CA115" s="207">
        <f>INDEX($A$102:$H$115,MATCH($L115,$B$102:$B$115,0),MATCH($BQ$101,$A$102:$H$102,0))*고양시_Modal_split!M$3 * 0.01</f>
        <v>3.3885516254743231E-2</v>
      </c>
      <c r="CB115" s="207">
        <f>INDEX($A$102:$H$115,MATCH($L115,$B$102:$B$115,0),MATCH($BQ$101,$A$102:$H$102,0))*고양시_Modal_split!N$3 * 0.01</f>
        <v>1.4732833154236192E-2</v>
      </c>
      <c r="CC115" s="207">
        <f>INDEX($A$102:$H$115,MATCH($L115,$B$102:$B$115,0),MATCH($BQ$101,$A$102:$H$102,0))*고양시_Modal_split!O$3 * 0.01</f>
        <v>2.6519099677625141E-2</v>
      </c>
      <c r="CD115" s="207">
        <f>INDEX($A$102:$H$115,MATCH($L115,$B$102:$B$115,0),MATCH($BQ$101,$A$102:$H$102,0))*고양시_Modal_split!P$3 * 0.01</f>
        <v>14.732833154236189</v>
      </c>
      <c r="CE115" s="304">
        <f t="shared" si="51"/>
        <v>142.12382823504143</v>
      </c>
      <c r="CF115" s="304">
        <f t="shared" si="47"/>
        <v>23871.727292478565</v>
      </c>
      <c r="CG115" s="304">
        <f t="shared" si="47"/>
        <v>2888.1592237763775</v>
      </c>
      <c r="CH115" s="304">
        <f t="shared" si="47"/>
        <v>4654.5553746976057</v>
      </c>
      <c r="CI115" s="304">
        <f t="shared" si="47"/>
        <v>466.97829277227902</v>
      </c>
      <c r="CJ115" s="304">
        <f t="shared" si="47"/>
        <v>5.0758510083943378</v>
      </c>
      <c r="CK115" s="304">
        <f t="shared" si="47"/>
        <v>1411.0865803336255</v>
      </c>
      <c r="CL115" s="304">
        <f t="shared" si="47"/>
        <v>15450.890469552363</v>
      </c>
      <c r="CM115" s="304">
        <f t="shared" si="47"/>
        <v>76.137765125915038</v>
      </c>
      <c r="CN115" s="304">
        <f t="shared" si="47"/>
        <v>1532.9070045350898</v>
      </c>
      <c r="CO115" s="304">
        <f t="shared" si="47"/>
        <v>116.74457319306975</v>
      </c>
      <c r="CP115" s="304">
        <f t="shared" si="47"/>
        <v>50.758510083943371</v>
      </c>
      <c r="CQ115" s="304">
        <f t="shared" si="47"/>
        <v>91.36531815109808</v>
      </c>
      <c r="CR115" s="304">
        <f t="shared" si="47"/>
        <v>50758.51008394338</v>
      </c>
      <c r="CS115" s="305">
        <f t="shared" si="52"/>
        <v>0</v>
      </c>
      <c r="CV115" s="267"/>
      <c r="CW115" s="267" t="s">
        <v>26</v>
      </c>
      <c r="CX115" s="267">
        <f>INDEX($M$101:$Z$115,MATCH($CW115,$L$101:$L$115,0),MATCH(CX$102,$M$102:$Z$102,0))/INDEX(고양시_재차인원!$D$4:$H$35,MATCH("고양시",고양시_재차인원!$B$4:$B$35,0),MATCH($CX$101,고양시_재차인원!$D$4:$H$4,0))</f>
        <v>2335.9399865974183</v>
      </c>
      <c r="CY115" s="267">
        <f>INDEX($M$101:$Z$115,MATCH($CW115,$L$101:$L$115,0),MATCH(CY$102,$M$102:$Z$102,0))/INDEX(고양시_재차인원!$K$4:$O$20,MATCH("경기도",고양시_재차인원!$K$4:$K$20,0),MATCH(CY$102,고양시_재차인원!$K$4:$O$4,0))</f>
        <v>1.9322488612680468E-2</v>
      </c>
      <c r="CZ115" s="267">
        <f>INDEX($M$101:$Z$115,MATCH($CW115,$L$101:$L$115,0),MATCH(CZ$102,$M$102:$Z$102,0))/INDEX(고양시_재차인원!$K$4:$O$20,MATCH("경기도",고양시_재차인원!$K$4:$K$20,0),MATCH(CZ$102,고양시_재차인원!$K$4:$O$4,0))</f>
        <v>5.371651834325168</v>
      </c>
      <c r="DA115" s="267">
        <f>INDEX($M$101:$Z$115,MATCH($CW115,$L$101:$L$115,0),MATCH(DA$102,$M$102:$Z$102,0))/INDEX(고양시_재차인원!$D$4:$H$35,MATCH("고양시",고양시_재차인원!$B$4:$B$35,0),MATCH($CX$101,고양시_재차인원!$D$4:$H$4,0))</f>
        <v>150.00082414467795</v>
      </c>
      <c r="DB115" s="267">
        <f>INDEX($AA$101:$AN$115,MATCH($CW115,$L$101:$L$115,0),MATCH(DB$102,$AA$102:$AN$102,0))/INDEX(고양시_재차인원!$D$4:$H$35,MATCH("고양시",고양시_재차인원!$B$4:$B$35,0),MATCH($DB$101,고양시_재차인원!$D$4:$H$4,0))</f>
        <v>14428.603222782947</v>
      </c>
      <c r="DC115" s="267">
        <f>INDEX($AA$101:$AN$115,MATCH($CW115,$L$101:$L$115,0),MATCH(DC$102,$AA$102:$AN$102,0))/INDEX(고양시_재차인원!$K$4:$O$20,MATCH("경기도",고양시_재차인원!$K$4:$K$20,0),MATCH(DC$102,고양시_재차인원!$K$4:$O$4,0))</f>
        <v>0.150254248185379</v>
      </c>
      <c r="DD115" s="267">
        <f>INDEX($AA$101:$AN$115,MATCH($CW115,$L$101:$L$115,0),MATCH(DD$102,$AA$102:$AN$102,0))/INDEX(고양시_재차인원!$K$4:$O$20,MATCH("경기도",고양시_재차인원!$K$4:$K$20,0),MATCH(DD$102,고양시_재차인원!$K$4:$O$4,0))</f>
        <v>41.770680995535344</v>
      </c>
      <c r="DE115" s="267">
        <f>INDEX($AA$101:$AN$115,MATCH($CW115,$L$101:$L$115,0),MATCH(DE$102,$AA$102:$AN$102,0))/INDEX(고양시_재차인원!$D$4:$H$35,MATCH("고양시",고양시_재차인원!$B$4:$B$35,0),MATCH($DB$101,고양시_재차인원!$D$4:$H$4,0))</f>
        <v>926.52310722527102</v>
      </c>
      <c r="DF115" s="267">
        <f>INDEX($AO$101:$BB$115,MATCH($CW115,$L$101:$L$115,0),MATCH(DF$102,$AO$102:$BB$102,0))/INDEX(고양시_재차인원!$D$4:$H$35,MATCH("고양시",고양시_재차인원!$B$4:$B$35,0),MATCH($DF$101,고양시_재차인원!$D$4:$H$4,0))</f>
        <v>693.66894996685494</v>
      </c>
      <c r="DG115" s="267">
        <f>INDEX($AO$101:$BB$115,MATCH($CW115,$L$101:$L$115,0),MATCH(DG$102,$AO$102:$BB$102,0))/INDEX(고양시_재차인원!$K$4:$O$20,MATCH("경기도",고양시_재차인원!$K$4:$K$20,0),MATCH(DG$102,고양시_재차인원!$K$4:$O$4,0))</f>
        <v>6.6600726056325922E-3</v>
      </c>
      <c r="DH115" s="267">
        <f>INDEX($AO$101:$BB$115,MATCH($CW115,$L$101:$L$115,0),MATCH(DH$102,$AO$102:$BB$102,0))/INDEX(고양시_재차인원!$K$4:$O$20,MATCH("경기도",고양시_재차인원!$K$4:$K$20,0),MATCH(DH$102,고양시_재차인원!$K$4:$O$4,0))</f>
        <v>1.8515001843658605</v>
      </c>
      <c r="DI115" s="267">
        <f>INDEX($AO$101:$BB$115,MATCH($CW115,$L$101:$L$115,0),MATCH(DI$102,$AO$102:$BB$102,0))/INDEX(고양시_재차인원!$D$4:$H$35,MATCH("고양시",고양시_재차인원!$B$4:$B$35,0),MATCH($DF$101,고양시_재차인원!$D$4:$H$4,0))</f>
        <v>44.543487750370026</v>
      </c>
      <c r="DJ115" s="267">
        <f>INDEX($BC$101:$BP$115,MATCH($CW115,$L$101:$L$115,0),MATCH(DJ$102,$BC$102:$BP$102,0))/INDEX(고양시_재차인원!$D$4:$H$35,MATCH("고양시",고양시_재차인원!$B$4:$B$35,0),MATCH($DJ$101,고양시_재차인원!$D$4:$H$4,0))</f>
        <v>1.7981448354075933</v>
      </c>
      <c r="DK115" s="267">
        <f>INDEX($BC$101:$BP$115,MATCH($CW115,$L$101:$L$115,0),MATCH(DK$102,$BC$102:$BP$102,0))/INDEX(고양시_재차인원!$K$4:$O$20,MATCH("경기도",고양시_재차인원!$K$4:$K$20,0),MATCH(DK$102,고양시_재차인원!$K$4:$O$4,0))</f>
        <v>1.8061213845783233E-5</v>
      </c>
      <c r="DL115" s="267">
        <f>INDEX($BC$101:$BP$115,MATCH($CW115,$L$101:$L$115,0),MATCH(DL$102,$BC$102:$BP$102,0))/INDEX(고양시_재차인원!$K$4:$O$20,MATCH("경기도",고양시_재차인원!$K$4:$K$20,0),MATCH(DL$102,고양시_재차인원!$K$4:$O$4,0))</f>
        <v>5.0210174491277394E-3</v>
      </c>
      <c r="DM115" s="267">
        <f>INDEX($BC$101:$BP$115,MATCH($CW115,$L$101:$L$115,0),MATCH(DM$102,$BC$102:$BP$102,0))/INDEX(고양시_재차인원!$D$4:$H$35,MATCH("고양시",고양시_재차인원!$B$4:$B$35,0),MATCH($DJ$101,고양시_재차인원!$D$4:$H$4,0))</f>
        <v>0.11546666814652204</v>
      </c>
      <c r="DN115" s="267">
        <f>INDEX($BQ$101:$CD$115,MATCH($CW115,$L$101:$L$115,0),MATCH(DN$102,$BQ$102:$CD$102,0))/INDEX(고양시_재차인원!$D$4:$H$35,MATCH("고양시",고양시_재차인원!$B$4:$B$35,0),MATCH($DN$101,고양시_재차인원!$D$4:$H$4,0))</f>
        <v>5.4990884384422856</v>
      </c>
      <c r="DO115" s="267">
        <f>INDEX($BQ$101:$CD$115,MATCH($CW115,$L$101:$L$115,0),MATCH(DO$102,$BQ$102:$CD$102,0))/INDEX(고양시_재차인원!$K$4:$O$20,MATCH("경기도",고양시_재차인원!$K$4:$K$20,0),MATCH(DO$102,고양시_재차인원!$K$4:$O$4,0))</f>
        <v>5.1173439229719307E-5</v>
      </c>
      <c r="DP115" s="267">
        <f>INDEX($BQ$101:$CD$115,MATCH($CW115,$L$101:$L$115,0),MATCH(DP$102,$BQ$102:$CD$102,0))/INDEX(고양시_재차인원!$K$4:$O$20,MATCH("경기도",고양시_재차인원!$K$4:$K$20,0),MATCH(DP$102,고양시_재차인원!$K$4:$O$4,0))</f>
        <v>1.4226216105861967E-2</v>
      </c>
      <c r="DQ115" s="267">
        <f>INDEX($BQ$101:$CD$115,MATCH($CW115,$L$101:$L$115,0),MATCH(DQ$102,$BQ$102:$CD$102,0))/INDEX(고양시_재차인원!$D$4:$H$35,MATCH("고양시",고양시_재차인원!$B$4:$B$35,0),MATCH($DN$101,고양시_재차인원!$D$4:$H$4,0))</f>
        <v>0.35312028671264517</v>
      </c>
      <c r="DR115" s="270">
        <f t="shared" si="53"/>
        <v>17465.509392621068</v>
      </c>
      <c r="DS115" s="270">
        <f t="shared" si="48"/>
        <v>0.17630604405676756</v>
      </c>
      <c r="DT115" s="270">
        <f t="shared" si="48"/>
        <v>49.013080247781367</v>
      </c>
      <c r="DU115" s="270">
        <f t="shared" si="48"/>
        <v>1121.5360060751784</v>
      </c>
      <c r="DW115" s="278"/>
      <c r="DX115" s="278" t="s">
        <v>26</v>
      </c>
      <c r="DY115" s="281">
        <f t="shared" si="54"/>
        <v>18587.045398696246</v>
      </c>
      <c r="DZ115" s="281">
        <f t="shared" si="55"/>
        <v>49.189386291838133</v>
      </c>
      <c r="EC115" s="278" t="s">
        <v>26</v>
      </c>
      <c r="ED115" s="281">
        <f t="shared" si="56"/>
        <v>18587.045398696246</v>
      </c>
      <c r="EE115" s="281">
        <f t="shared" si="49"/>
        <v>49.189386291838133</v>
      </c>
      <c r="EL115" s="322" t="s">
        <v>681</v>
      </c>
      <c r="EM115" s="322" t="s">
        <v>373</v>
      </c>
      <c r="EN115" s="322">
        <v>39402.4712</v>
      </c>
      <c r="EO115" s="322">
        <v>0.21217073572212786</v>
      </c>
      <c r="EP115" s="477">
        <v>849113</v>
      </c>
      <c r="EQ115" s="324">
        <f t="shared" si="57"/>
        <v>953.28206605875732</v>
      </c>
      <c r="ER115" s="324">
        <f t="shared" si="58"/>
        <v>2.5227979373061027</v>
      </c>
      <c r="ET115" s="420" t="s">
        <v>681</v>
      </c>
      <c r="EU115" s="420" t="s">
        <v>373</v>
      </c>
      <c r="EV115" s="412"/>
      <c r="EW115" s="412"/>
      <c r="EX115" s="421">
        <v>849113</v>
      </c>
      <c r="EY115" s="423">
        <f t="shared" si="59"/>
        <v>926.11352717608281</v>
      </c>
      <c r="EZ115" s="423">
        <f t="shared" si="60"/>
        <v>2.4508981960928788</v>
      </c>
      <c r="FA115">
        <v>0</v>
      </c>
      <c r="FD115" s="322" t="s">
        <v>370</v>
      </c>
      <c r="FE115" s="322" t="s">
        <v>373</v>
      </c>
      <c r="FF115" s="75"/>
      <c r="FG115" s="75"/>
      <c r="FH115" s="323">
        <v>849113</v>
      </c>
      <c r="FI115" s="327">
        <f t="shared" si="61"/>
        <v>926.11352717608281</v>
      </c>
      <c r="FJ115" s="327">
        <f t="shared" si="50"/>
        <v>2.4508981960928788</v>
      </c>
      <c r="FL115" s="101"/>
      <c r="FM115" s="101"/>
      <c r="FN115" s="34"/>
      <c r="FO115" s="34"/>
      <c r="FP115" s="374"/>
      <c r="FQ115" s="405"/>
      <c r="FR115" s="405"/>
    </row>
    <row r="116" spans="1:174">
      <c r="Z116">
        <f>Z115/H115</f>
        <v>0.10959629158521052</v>
      </c>
      <c r="ED116" s="230">
        <f>SUM(ED103:ED114)-ED115</f>
        <v>0</v>
      </c>
      <c r="EE116" s="230" t="b">
        <f>SUM(EE103:EE114)=EE115</f>
        <v>1</v>
      </c>
      <c r="EL116" s="75" t="s">
        <v>669</v>
      </c>
      <c r="EM116" s="325" t="s">
        <v>682</v>
      </c>
      <c r="EN116" s="75">
        <v>39402.4712</v>
      </c>
      <c r="EO116" s="75">
        <v>0.19507846659237171</v>
      </c>
      <c r="EP116" s="478"/>
      <c r="EQ116" s="324">
        <f t="shared" si="57"/>
        <v>658.82795241794975</v>
      </c>
      <c r="ER116" s="324">
        <f t="shared" si="58"/>
        <v>1.7435446008874782</v>
      </c>
      <c r="ET116" s="420" t="s">
        <v>669</v>
      </c>
      <c r="EU116" s="420" t="s">
        <v>569</v>
      </c>
      <c r="EV116" s="420">
        <v>70189.171300000002</v>
      </c>
      <c r="EW116" s="420">
        <v>0.34750094325538916</v>
      </c>
      <c r="EX116" s="421">
        <v>849114</v>
      </c>
      <c r="EY116" s="423">
        <f t="shared" si="59"/>
        <v>640.05135577403814</v>
      </c>
      <c r="EZ116" s="423">
        <f t="shared" si="60"/>
        <v>1.6938535797621852</v>
      </c>
      <c r="FA116">
        <v>0</v>
      </c>
      <c r="FD116" s="306" t="s">
        <v>669</v>
      </c>
      <c r="FE116" s="306" t="s">
        <v>569</v>
      </c>
      <c r="FF116" s="306">
        <v>70189.171300000002</v>
      </c>
      <c r="FG116" s="306">
        <v>0.34750094325538916</v>
      </c>
      <c r="FH116" s="307">
        <v>849114</v>
      </c>
      <c r="FI116" s="326">
        <f t="shared" si="61"/>
        <v>640.05135577403814</v>
      </c>
      <c r="FJ116" s="326">
        <f t="shared" si="50"/>
        <v>1.6938535797621852</v>
      </c>
      <c r="FL116" s="101"/>
      <c r="FM116" s="101"/>
      <c r="FN116" s="101"/>
      <c r="FO116" s="101"/>
      <c r="FP116" s="374"/>
      <c r="FQ116" s="405"/>
      <c r="FR116" s="405"/>
    </row>
    <row r="117" spans="1:174">
      <c r="EL117" s="306" t="s">
        <v>669</v>
      </c>
      <c r="EM117" s="306" t="s">
        <v>569</v>
      </c>
      <c r="EN117" s="306">
        <v>70189.171300000002</v>
      </c>
      <c r="EO117" s="306">
        <v>0.34750094325538916</v>
      </c>
      <c r="EP117" s="308">
        <v>849114</v>
      </c>
      <c r="EQ117" s="308">
        <f t="shared" si="57"/>
        <v>1173.5961375308798</v>
      </c>
      <c r="ER117" s="308">
        <f t="shared" si="58"/>
        <v>3.1058445557821086</v>
      </c>
      <c r="ET117" s="420" t="s">
        <v>669</v>
      </c>
      <c r="EU117" s="420" t="s">
        <v>79</v>
      </c>
      <c r="EV117" s="420">
        <v>51949.691800000001</v>
      </c>
      <c r="EW117" s="420">
        <v>0.2571987468717522</v>
      </c>
      <c r="EX117" s="421">
        <v>849115</v>
      </c>
      <c r="EY117" s="423">
        <f t="shared" si="59"/>
        <v>1140.1486476112498</v>
      </c>
      <c r="EZ117" s="423">
        <f t="shared" si="60"/>
        <v>3.0173279859423188</v>
      </c>
      <c r="FA117">
        <v>0</v>
      </c>
      <c r="FD117" s="306" t="s">
        <v>669</v>
      </c>
      <c r="FE117" s="306" t="s">
        <v>79</v>
      </c>
      <c r="FF117" s="306">
        <v>51949.691800000001</v>
      </c>
      <c r="FG117" s="306">
        <v>0.2571987468717522</v>
      </c>
      <c r="FH117" s="307">
        <v>849115</v>
      </c>
      <c r="FI117" s="326">
        <f t="shared" si="61"/>
        <v>1140.1486476112498</v>
      </c>
      <c r="FJ117" s="326">
        <f t="shared" si="50"/>
        <v>3.0173279859423188</v>
      </c>
      <c r="FL117" s="101"/>
      <c r="FM117" s="101"/>
      <c r="FN117" s="101"/>
      <c r="FO117" s="101"/>
      <c r="FP117" s="374"/>
      <c r="FQ117" s="405"/>
      <c r="FR117" s="405"/>
    </row>
    <row r="118" spans="1:174">
      <c r="EL118" s="306" t="s">
        <v>669</v>
      </c>
      <c r="EM118" s="306" t="s">
        <v>79</v>
      </c>
      <c r="EN118" s="306">
        <v>51949.691800000001</v>
      </c>
      <c r="EO118" s="306">
        <v>0.2571987468717522</v>
      </c>
      <c r="EP118" s="308">
        <v>849115</v>
      </c>
      <c r="EQ118" s="308">
        <f t="shared" si="57"/>
        <v>868.62341459785284</v>
      </c>
      <c r="ER118" s="308">
        <f t="shared" si="58"/>
        <v>2.2987544155773278</v>
      </c>
      <c r="ET118" s="420" t="s">
        <v>669</v>
      </c>
      <c r="EU118" s="420" t="s">
        <v>223</v>
      </c>
      <c r="EV118" s="420">
        <v>40441.3442</v>
      </c>
      <c r="EW118" s="420">
        <v>0.20022184328048706</v>
      </c>
      <c r="EX118" s="421">
        <v>849116</v>
      </c>
      <c r="EY118" s="423">
        <f t="shared" si="59"/>
        <v>843.86764728181402</v>
      </c>
      <c r="EZ118" s="423">
        <f t="shared" si="60"/>
        <v>2.2332399147333741</v>
      </c>
      <c r="FA118">
        <v>0</v>
      </c>
      <c r="FD118" s="306" t="s">
        <v>669</v>
      </c>
      <c r="FE118" s="306" t="s">
        <v>223</v>
      </c>
      <c r="FF118" s="306">
        <v>40441.3442</v>
      </c>
      <c r="FG118" s="306">
        <v>0.20022184328048706</v>
      </c>
      <c r="FH118" s="307">
        <v>849116</v>
      </c>
      <c r="FI118" s="326">
        <f t="shared" si="61"/>
        <v>843.86764728181402</v>
      </c>
      <c r="FJ118" s="326">
        <f t="shared" si="50"/>
        <v>2.2332399147333741</v>
      </c>
      <c r="FL118" s="101"/>
      <c r="FM118" s="101"/>
      <c r="FN118" s="101"/>
      <c r="FO118" s="101"/>
      <c r="FP118" s="374"/>
      <c r="FQ118" s="405"/>
      <c r="FR118" s="405"/>
    </row>
    <row r="119" spans="1:174">
      <c r="EL119" s="306" t="s">
        <v>669</v>
      </c>
      <c r="EM119" s="306" t="s">
        <v>223</v>
      </c>
      <c r="EN119" s="306">
        <v>40441.3442</v>
      </c>
      <c r="EO119" s="306">
        <v>0.20022184328048706</v>
      </c>
      <c r="EP119" s="308">
        <v>849116</v>
      </c>
      <c r="EQ119" s="308">
        <f t="shared" si="57"/>
        <v>676.19840027484179</v>
      </c>
      <c r="ER119" s="308">
        <f t="shared" si="58"/>
        <v>1.7895143422512576</v>
      </c>
      <c r="ET119" s="420" t="s">
        <v>670</v>
      </c>
      <c r="EU119" s="420" t="s">
        <v>570</v>
      </c>
      <c r="EV119" s="420">
        <v>53247.161800000002</v>
      </c>
      <c r="EW119" s="420">
        <v>1</v>
      </c>
      <c r="EX119" s="421">
        <v>849117</v>
      </c>
      <c r="EY119" s="423">
        <f t="shared" si="59"/>
        <v>656.92674586700878</v>
      </c>
      <c r="EZ119" s="423">
        <f t="shared" si="60"/>
        <v>1.7385131834970968</v>
      </c>
      <c r="FA119">
        <v>0</v>
      </c>
      <c r="FD119" s="322" t="s">
        <v>670</v>
      </c>
      <c r="FE119" s="322" t="s">
        <v>570</v>
      </c>
      <c r="FF119" s="322">
        <v>53247.161800000002</v>
      </c>
      <c r="FG119" s="322">
        <v>1</v>
      </c>
      <c r="FH119" s="323">
        <v>849117</v>
      </c>
      <c r="FI119" s="327">
        <f t="shared" si="61"/>
        <v>656.92674586700878</v>
      </c>
      <c r="FJ119" s="327">
        <f t="shared" si="50"/>
        <v>1.7385131834970968</v>
      </c>
      <c r="FL119" s="101"/>
      <c r="FM119" s="101"/>
      <c r="FN119" s="101"/>
      <c r="FO119" s="101"/>
      <c r="FP119" s="374"/>
      <c r="FQ119" s="405"/>
      <c r="FR119" s="405"/>
    </row>
    <row r="120" spans="1:174">
      <c r="EL120" s="322" t="s">
        <v>670</v>
      </c>
      <c r="EM120" s="322" t="s">
        <v>570</v>
      </c>
      <c r="EN120" s="322">
        <v>53247.161800000002</v>
      </c>
      <c r="EO120" s="322">
        <v>1</v>
      </c>
      <c r="EP120" s="323">
        <v>849117</v>
      </c>
      <c r="EQ120" s="324">
        <f>ED107+ED106</f>
        <v>1493.5361975649114</v>
      </c>
      <c r="ER120" s="324">
        <f>EE107+EE106</f>
        <v>3.9525447636780742</v>
      </c>
      <c r="ET120" s="420" t="s">
        <v>13</v>
      </c>
      <c r="EU120" s="420" t="s">
        <v>575</v>
      </c>
      <c r="EV120" s="420">
        <v>8507.8255000000008</v>
      </c>
      <c r="EW120" s="420">
        <v>0.38150552170840318</v>
      </c>
      <c r="EX120" s="421">
        <v>849118</v>
      </c>
      <c r="EY120" s="423">
        <f t="shared" si="59"/>
        <v>1450.9704159343114</v>
      </c>
      <c r="EZ120" s="423">
        <f t="shared" si="60"/>
        <v>3.8398972379132492</v>
      </c>
      <c r="FA120">
        <v>0</v>
      </c>
      <c r="FD120" s="306" t="s">
        <v>13</v>
      </c>
      <c r="FE120" s="306" t="s">
        <v>575</v>
      </c>
      <c r="FF120" s="306">
        <v>8507.8255000000008</v>
      </c>
      <c r="FG120" s="306">
        <v>0.38150552170840318</v>
      </c>
      <c r="FH120" s="307">
        <v>849118</v>
      </c>
      <c r="FI120" s="326">
        <f t="shared" si="61"/>
        <v>1450.9704159343114</v>
      </c>
      <c r="FJ120" s="326">
        <f t="shared" si="50"/>
        <v>3.8398972379132492</v>
      </c>
      <c r="FL120" s="101"/>
      <c r="FM120" s="101"/>
      <c r="FN120" s="101"/>
      <c r="FO120" s="101"/>
      <c r="FP120" s="374"/>
      <c r="FQ120" s="405"/>
      <c r="FR120" s="405"/>
    </row>
    <row r="121" spans="1:174">
      <c r="EL121" s="306" t="s">
        <v>13</v>
      </c>
      <c r="EM121" s="306" t="s">
        <v>575</v>
      </c>
      <c r="EN121" s="306">
        <v>8507.8255000000008</v>
      </c>
      <c r="EO121" s="306">
        <v>0.38150552170840318</v>
      </c>
      <c r="EP121" s="308">
        <v>849118</v>
      </c>
      <c r="EQ121" s="308">
        <f t="shared" si="57"/>
        <v>121.01718153832719</v>
      </c>
      <c r="ER121" s="308">
        <f t="shared" si="58"/>
        <v>0.32026396680861519</v>
      </c>
      <c r="ET121" s="420" t="s">
        <v>13</v>
      </c>
      <c r="EU121" s="420" t="s">
        <v>576</v>
      </c>
      <c r="EV121" s="420">
        <v>5790.3404</v>
      </c>
      <c r="EW121" s="420">
        <v>0.25964881804066664</v>
      </c>
      <c r="EX121" s="421">
        <v>849119</v>
      </c>
      <c r="EY121" s="423">
        <f t="shared" si="59"/>
        <v>117.56819186448487</v>
      </c>
      <c r="EZ121" s="423">
        <f t="shared" si="60"/>
        <v>0.31113644375456967</v>
      </c>
      <c r="FA121">
        <v>0</v>
      </c>
      <c r="FD121" s="306" t="s">
        <v>13</v>
      </c>
      <c r="FE121" s="306" t="s">
        <v>576</v>
      </c>
      <c r="FF121" s="306">
        <v>5790.3404</v>
      </c>
      <c r="FG121" s="306">
        <v>0.25964881804066664</v>
      </c>
      <c r="FH121" s="307">
        <v>849119</v>
      </c>
      <c r="FI121" s="326">
        <f t="shared" si="61"/>
        <v>117.56819186448487</v>
      </c>
      <c r="FJ121" s="326">
        <f t="shared" si="50"/>
        <v>0.31113644375456967</v>
      </c>
      <c r="FL121" s="101"/>
      <c r="FM121" s="101"/>
      <c r="FN121" s="101"/>
      <c r="FO121" s="101"/>
      <c r="FP121" s="374"/>
      <c r="FQ121" s="405"/>
      <c r="FR121" s="405"/>
    </row>
    <row r="122" spans="1:174">
      <c r="EL122" s="306" t="s">
        <v>13</v>
      </c>
      <c r="EM122" s="306" t="s">
        <v>576</v>
      </c>
      <c r="EN122" s="306">
        <v>5790.3404</v>
      </c>
      <c r="EO122" s="306">
        <v>0.25964881804066664</v>
      </c>
      <c r="EP122" s="308">
        <v>849119</v>
      </c>
      <c r="EQ122" s="308">
        <f t="shared" si="57"/>
        <v>82.363075659639463</v>
      </c>
      <c r="ER122" s="308">
        <f t="shared" si="58"/>
        <v>0.21796843220117565</v>
      </c>
      <c r="ET122" s="420" t="s">
        <v>13</v>
      </c>
      <c r="EU122" s="420" t="s">
        <v>382</v>
      </c>
      <c r="EV122" s="420">
        <v>1771.3566000000001</v>
      </c>
      <c r="EW122" s="420">
        <v>7.943067518423165E-2</v>
      </c>
      <c r="EX122" s="421">
        <v>849120</v>
      </c>
      <c r="EY122" s="423">
        <f t="shared" si="59"/>
        <v>80.015728003339746</v>
      </c>
      <c r="EZ122" s="423">
        <f t="shared" si="60"/>
        <v>0.21175633188344214</v>
      </c>
      <c r="FA122">
        <v>0</v>
      </c>
      <c r="FD122" s="306" t="s">
        <v>13</v>
      </c>
      <c r="FE122" s="306" t="s">
        <v>382</v>
      </c>
      <c r="FF122" s="306">
        <v>1771.3566000000001</v>
      </c>
      <c r="FG122" s="306">
        <v>7.943067518423165E-2</v>
      </c>
      <c r="FH122" s="307">
        <v>849120</v>
      </c>
      <c r="FI122" s="326">
        <f t="shared" si="61"/>
        <v>80.015728003339746</v>
      </c>
      <c r="FJ122" s="326">
        <f t="shared" si="50"/>
        <v>0.21175633188344214</v>
      </c>
      <c r="FL122" s="101"/>
      <c r="FM122" s="101"/>
      <c r="FN122" s="101"/>
      <c r="FO122" s="101"/>
      <c r="FP122" s="374"/>
      <c r="FQ122" s="405"/>
      <c r="FR122" s="405"/>
    </row>
    <row r="123" spans="1:174">
      <c r="EL123" s="306" t="s">
        <v>13</v>
      </c>
      <c r="EM123" s="306" t="s">
        <v>382</v>
      </c>
      <c r="EN123" s="306">
        <v>1771.3566000000001</v>
      </c>
      <c r="EO123" s="306">
        <v>7.943067518423165E-2</v>
      </c>
      <c r="EP123" s="308">
        <v>849120</v>
      </c>
      <c r="EQ123" s="308">
        <f t="shared" si="57"/>
        <v>25.196165957013811</v>
      </c>
      <c r="ER123" s="308">
        <f t="shared" si="58"/>
        <v>6.6679986719123632E-2</v>
      </c>
      <c r="ET123" s="420" t="s">
        <v>13</v>
      </c>
      <c r="EU123" s="420" t="s">
        <v>383</v>
      </c>
      <c r="EV123" s="420">
        <v>6231.1390000000001</v>
      </c>
      <c r="EW123" s="420">
        <v>0.2794149850666986</v>
      </c>
      <c r="EX123" s="421">
        <v>849121</v>
      </c>
      <c r="EY123" s="423">
        <f t="shared" si="59"/>
        <v>24.478075227238918</v>
      </c>
      <c r="EZ123" s="423">
        <f t="shared" si="60"/>
        <v>6.4779607097628616E-2</v>
      </c>
      <c r="FA123">
        <v>0</v>
      </c>
      <c r="FD123" s="306" t="s">
        <v>13</v>
      </c>
      <c r="FE123" s="306" t="s">
        <v>383</v>
      </c>
      <c r="FF123" s="306">
        <v>6231.1390000000001</v>
      </c>
      <c r="FG123" s="306">
        <v>0.2794149850666986</v>
      </c>
      <c r="FH123" s="307">
        <v>849121</v>
      </c>
      <c r="FI123" s="326">
        <f t="shared" si="61"/>
        <v>24.478075227238918</v>
      </c>
      <c r="FJ123" s="326">
        <f t="shared" si="50"/>
        <v>6.4779607097628616E-2</v>
      </c>
      <c r="FL123" s="101"/>
      <c r="FM123" s="101"/>
      <c r="FN123" s="101"/>
      <c r="FO123" s="101"/>
      <c r="FP123" s="374"/>
      <c r="FQ123" s="405"/>
      <c r="FR123" s="405"/>
    </row>
    <row r="124" spans="1:174">
      <c r="EL124" s="306" t="s">
        <v>13</v>
      </c>
      <c r="EM124" s="306" t="s">
        <v>383</v>
      </c>
      <c r="EN124" s="306">
        <v>6231.1390000000001</v>
      </c>
      <c r="EO124" s="306">
        <v>0.2794149850666986</v>
      </c>
      <c r="EP124" s="308">
        <v>849121</v>
      </c>
      <c r="EQ124" s="308">
        <f t="shared" si="57"/>
        <v>88.633091916794783</v>
      </c>
      <c r="ER124" s="308">
        <f t="shared" si="58"/>
        <v>0.23456161552395113</v>
      </c>
      <c r="ET124" s="420" t="s">
        <v>301</v>
      </c>
      <c r="EU124" s="420" t="s">
        <v>577</v>
      </c>
      <c r="EV124" s="420">
        <v>11058.6175</v>
      </c>
      <c r="EW124" s="420">
        <v>0.1539041977987548</v>
      </c>
      <c r="EX124" s="421">
        <v>849122</v>
      </c>
      <c r="EY124" s="423">
        <f t="shared" si="59"/>
        <v>86.107048797166129</v>
      </c>
      <c r="EZ124" s="423">
        <f t="shared" si="60"/>
        <v>0.22787660948151853</v>
      </c>
      <c r="FA124">
        <v>0</v>
      </c>
      <c r="FD124" s="306" t="s">
        <v>301</v>
      </c>
      <c r="FE124" s="306" t="s">
        <v>577</v>
      </c>
      <c r="FF124" s="306">
        <v>11058.6175</v>
      </c>
      <c r="FG124" s="306">
        <v>0.1539041977987548</v>
      </c>
      <c r="FH124" s="307">
        <v>849122</v>
      </c>
      <c r="FI124" s="326">
        <f t="shared" si="61"/>
        <v>86.107048797166129</v>
      </c>
      <c r="FJ124" s="326">
        <f t="shared" si="50"/>
        <v>0.22787660948151853</v>
      </c>
      <c r="FL124" s="101"/>
      <c r="FM124" s="101"/>
      <c r="FN124" s="101"/>
      <c r="FO124" s="101"/>
      <c r="FP124" s="374"/>
      <c r="FQ124" s="405"/>
      <c r="FR124" s="405"/>
    </row>
    <row r="125" spans="1:174">
      <c r="EL125" s="306" t="s">
        <v>301</v>
      </c>
      <c r="EM125" s="306" t="s">
        <v>577</v>
      </c>
      <c r="EN125" s="306">
        <v>11058.6175</v>
      </c>
      <c r="EO125" s="306">
        <v>0.1539041977987548</v>
      </c>
      <c r="EP125" s="308">
        <v>849122</v>
      </c>
      <c r="EQ125" s="308">
        <f t="shared" si="57"/>
        <v>857.34136028366811</v>
      </c>
      <c r="ER125" s="308">
        <f t="shared" si="58"/>
        <v>2.2688972050351484</v>
      </c>
      <c r="ET125" s="420" t="s">
        <v>301</v>
      </c>
      <c r="EU125" s="420" t="s">
        <v>103</v>
      </c>
      <c r="EV125" s="420">
        <v>11210.3078</v>
      </c>
      <c r="EW125" s="420">
        <v>0.15601529115516691</v>
      </c>
      <c r="EX125" s="421">
        <v>849123</v>
      </c>
      <c r="EY125" s="423">
        <f t="shared" si="59"/>
        <v>832.90713151558361</v>
      </c>
      <c r="EZ125" s="423">
        <f t="shared" si="60"/>
        <v>2.2042336346916467</v>
      </c>
      <c r="FA125">
        <v>0</v>
      </c>
      <c r="FD125" s="306" t="s">
        <v>301</v>
      </c>
      <c r="FE125" s="306" t="s">
        <v>103</v>
      </c>
      <c r="FF125" s="306">
        <v>11210.3078</v>
      </c>
      <c r="FG125" s="306">
        <v>0.15601529115516691</v>
      </c>
      <c r="FH125" s="307">
        <v>849123</v>
      </c>
      <c r="FI125" s="326">
        <f t="shared" si="61"/>
        <v>832.90713151558361</v>
      </c>
      <c r="FJ125" s="326">
        <f t="shared" si="50"/>
        <v>2.2042336346916467</v>
      </c>
      <c r="FL125" s="101"/>
      <c r="FM125" s="101"/>
      <c r="FN125" s="101"/>
      <c r="FO125" s="101"/>
      <c r="FP125" s="374"/>
      <c r="FQ125" s="405"/>
      <c r="FR125" s="405"/>
    </row>
    <row r="126" spans="1:174">
      <c r="EL126" s="306" t="s">
        <v>301</v>
      </c>
      <c r="EM126" s="306" t="s">
        <v>103</v>
      </c>
      <c r="EN126" s="306">
        <v>11210.3078</v>
      </c>
      <c r="EO126" s="306">
        <v>0.15601529115516691</v>
      </c>
      <c r="EP126" s="308">
        <v>849123</v>
      </c>
      <c r="EQ126" s="308">
        <f t="shared" si="57"/>
        <v>869.10145309308473</v>
      </c>
      <c r="ER126" s="308">
        <f t="shared" si="58"/>
        <v>2.3000195128372711</v>
      </c>
      <c r="ET126" s="420" t="s">
        <v>301</v>
      </c>
      <c r="EU126" s="420" t="s">
        <v>104</v>
      </c>
      <c r="EV126" s="420">
        <v>10719.050499999999</v>
      </c>
      <c r="EW126" s="420">
        <v>0.14917840031693305</v>
      </c>
      <c r="EX126" s="421">
        <v>849124</v>
      </c>
      <c r="EY126" s="423">
        <f t="shared" si="59"/>
        <v>844.33206167993183</v>
      </c>
      <c r="EZ126" s="423">
        <f t="shared" si="60"/>
        <v>2.2344689567214089</v>
      </c>
      <c r="FA126">
        <v>0</v>
      </c>
      <c r="FD126" s="306" t="s">
        <v>301</v>
      </c>
      <c r="FE126" s="306" t="s">
        <v>104</v>
      </c>
      <c r="FF126" s="306">
        <v>10719.050499999999</v>
      </c>
      <c r="FG126" s="306">
        <v>0.14917840031693305</v>
      </c>
      <c r="FH126" s="307">
        <v>849124</v>
      </c>
      <c r="FI126" s="326">
        <f t="shared" si="61"/>
        <v>844.33206167993183</v>
      </c>
      <c r="FJ126" s="326">
        <f t="shared" si="50"/>
        <v>2.2344689567214089</v>
      </c>
      <c r="FL126" s="101"/>
      <c r="FM126" s="101"/>
      <c r="FN126" s="101"/>
      <c r="FO126" s="101"/>
      <c r="FP126" s="374"/>
      <c r="FQ126" s="405"/>
      <c r="FR126" s="405"/>
    </row>
    <row r="127" spans="1:174">
      <c r="EL127" s="306" t="s">
        <v>301</v>
      </c>
      <c r="EM127" s="306" t="s">
        <v>104</v>
      </c>
      <c r="EN127" s="306">
        <v>10719.050499999999</v>
      </c>
      <c r="EO127" s="306">
        <v>0.14917840031693305</v>
      </c>
      <c r="EP127" s="308">
        <v>849124</v>
      </c>
      <c r="EQ127" s="308">
        <f t="shared" si="57"/>
        <v>831.01575188935976</v>
      </c>
      <c r="ER127" s="308">
        <f t="shared" si="58"/>
        <v>2.1992282236075718</v>
      </c>
      <c r="ET127" s="420" t="s">
        <v>301</v>
      </c>
      <c r="EU127" s="420" t="s">
        <v>117</v>
      </c>
      <c r="EV127" s="420">
        <v>25550.6122</v>
      </c>
      <c r="EW127" s="420">
        <v>0.35559114635333733</v>
      </c>
      <c r="EX127" s="421">
        <v>849125</v>
      </c>
      <c r="EY127" s="423">
        <f t="shared" si="59"/>
        <v>807.33180296051307</v>
      </c>
      <c r="EZ127" s="423">
        <f t="shared" si="60"/>
        <v>2.1365502192347559</v>
      </c>
      <c r="FA127">
        <v>0</v>
      </c>
      <c r="FD127" s="306" t="s">
        <v>301</v>
      </c>
      <c r="FE127" s="306" t="s">
        <v>117</v>
      </c>
      <c r="FF127" s="306">
        <v>25550.6122</v>
      </c>
      <c r="FG127" s="306">
        <v>0.35559114635333733</v>
      </c>
      <c r="FH127" s="307">
        <v>849125</v>
      </c>
      <c r="FI127" s="326">
        <f t="shared" si="61"/>
        <v>807.33180296051307</v>
      </c>
      <c r="FJ127" s="326">
        <f t="shared" si="50"/>
        <v>2.1365502192347559</v>
      </c>
      <c r="FL127" s="101"/>
      <c r="FM127" s="101"/>
      <c r="FN127" s="101"/>
      <c r="FO127" s="101"/>
      <c r="FP127" s="374"/>
      <c r="FQ127" s="405"/>
      <c r="FR127" s="405"/>
    </row>
    <row r="128" spans="1:174">
      <c r="EL128" s="306" t="s">
        <v>301</v>
      </c>
      <c r="EM128" s="306" t="s">
        <v>117</v>
      </c>
      <c r="EN128" s="306">
        <v>25550.6122</v>
      </c>
      <c r="EO128" s="306">
        <v>0.35559114635333733</v>
      </c>
      <c r="EP128" s="308">
        <v>849125</v>
      </c>
      <c r="EQ128" s="308">
        <f t="shared" si="57"/>
        <v>1980.8621303366795</v>
      </c>
      <c r="ER128" s="308">
        <f t="shared" si="58"/>
        <v>5.2422206127951307</v>
      </c>
      <c r="ET128" s="420" t="s">
        <v>301</v>
      </c>
      <c r="EU128" s="420" t="s">
        <v>118</v>
      </c>
      <c r="EV128" s="420">
        <v>13315.3163</v>
      </c>
      <c r="EW128" s="420">
        <v>0.18531096437580774</v>
      </c>
      <c r="EX128" s="421">
        <v>849126</v>
      </c>
      <c r="EY128" s="423">
        <f t="shared" si="59"/>
        <v>1924.4075596220841</v>
      </c>
      <c r="EZ128" s="423">
        <f t="shared" si="60"/>
        <v>5.0928173253304694</v>
      </c>
      <c r="FA128">
        <v>0</v>
      </c>
      <c r="FD128" s="306" t="s">
        <v>301</v>
      </c>
      <c r="FE128" s="306" t="s">
        <v>118</v>
      </c>
      <c r="FF128" s="306">
        <v>13315.3163</v>
      </c>
      <c r="FG128" s="306">
        <v>0.18531096437580774</v>
      </c>
      <c r="FH128" s="307">
        <v>849126</v>
      </c>
      <c r="FI128" s="326">
        <f t="shared" si="61"/>
        <v>1924.4075596220841</v>
      </c>
      <c r="FJ128" s="326">
        <f t="shared" si="50"/>
        <v>5.0928173253304694</v>
      </c>
      <c r="FL128" s="101"/>
      <c r="FM128" s="101"/>
      <c r="FN128" s="101"/>
      <c r="FO128" s="101"/>
      <c r="FP128" s="374"/>
      <c r="FQ128" s="405"/>
      <c r="FR128" s="405"/>
    </row>
    <row r="129" spans="1:174">
      <c r="EL129" s="306" t="s">
        <v>301</v>
      </c>
      <c r="EM129" s="306" t="s">
        <v>118</v>
      </c>
      <c r="EN129" s="306">
        <v>13315.3163</v>
      </c>
      <c r="EO129" s="306">
        <v>0.18531096437580774</v>
      </c>
      <c r="EP129" s="308">
        <v>849126</v>
      </c>
      <c r="EQ129" s="308">
        <f t="shared" si="57"/>
        <v>1032.2964321036784</v>
      </c>
      <c r="ER129" s="308">
        <f t="shared" si="58"/>
        <v>2.7319042309971344</v>
      </c>
      <c r="ET129" s="420" t="s">
        <v>302</v>
      </c>
      <c r="EU129" s="420" t="s">
        <v>579</v>
      </c>
      <c r="EV129" s="420">
        <v>15739.680700000001</v>
      </c>
      <c r="EW129" s="420">
        <v>0.310763615277375</v>
      </c>
      <c r="EX129" s="421">
        <v>849127</v>
      </c>
      <c r="EY129" s="423">
        <f t="shared" si="59"/>
        <v>1002.8759837887236</v>
      </c>
      <c r="EZ129" s="423">
        <f t="shared" si="60"/>
        <v>2.654044960413716</v>
      </c>
      <c r="FA129">
        <v>0</v>
      </c>
      <c r="FD129" s="306" t="s">
        <v>302</v>
      </c>
      <c r="FE129" s="306" t="s">
        <v>579</v>
      </c>
      <c r="FF129" s="306">
        <v>15739.680700000001</v>
      </c>
      <c r="FG129" s="306">
        <v>0.310763615277375</v>
      </c>
      <c r="FH129" s="307">
        <v>849127</v>
      </c>
      <c r="FI129" s="326">
        <f t="shared" si="61"/>
        <v>1002.8759837887236</v>
      </c>
      <c r="FJ129" s="326">
        <f t="shared" si="50"/>
        <v>2.654044960413716</v>
      </c>
      <c r="FL129" s="101"/>
      <c r="FM129" s="101"/>
      <c r="FN129" s="101"/>
      <c r="FO129" s="101"/>
      <c r="FP129" s="374"/>
      <c r="FQ129" s="405"/>
      <c r="FR129" s="405"/>
    </row>
    <row r="130" spans="1:174">
      <c r="EL130" s="306" t="s">
        <v>302</v>
      </c>
      <c r="EM130" s="306" t="s">
        <v>579</v>
      </c>
      <c r="EN130" s="306">
        <v>15739.680700000001</v>
      </c>
      <c r="EO130" s="306">
        <v>0.310763615277375</v>
      </c>
      <c r="EP130" s="308">
        <v>849127</v>
      </c>
      <c r="EQ130" s="308">
        <f t="shared" si="57"/>
        <v>20.629634695852431</v>
      </c>
      <c r="ER130" s="308">
        <f t="shared" si="58"/>
        <v>5.4594963768957616E-2</v>
      </c>
      <c r="ET130" s="420" t="s">
        <v>302</v>
      </c>
      <c r="EU130" s="420" t="s">
        <v>580</v>
      </c>
      <c r="EV130" s="420">
        <v>34908.721899999997</v>
      </c>
      <c r="EW130" s="420">
        <v>0.68923638472262494</v>
      </c>
      <c r="EX130" s="421">
        <v>849128</v>
      </c>
      <c r="EY130" s="423">
        <f t="shared" si="59"/>
        <v>20.041690107020639</v>
      </c>
      <c r="EZ130" s="423">
        <f t="shared" si="60"/>
        <v>5.3039007301542325E-2</v>
      </c>
      <c r="FA130">
        <v>0</v>
      </c>
      <c r="FD130" s="306" t="s">
        <v>302</v>
      </c>
      <c r="FE130" s="306" t="s">
        <v>580</v>
      </c>
      <c r="FF130" s="306">
        <v>34908.721899999997</v>
      </c>
      <c r="FG130" s="306">
        <v>0.68923638472262494</v>
      </c>
      <c r="FH130" s="307">
        <v>849128</v>
      </c>
      <c r="FI130" s="326">
        <f t="shared" si="61"/>
        <v>20.041690107020639</v>
      </c>
      <c r="FJ130" s="326">
        <f t="shared" si="50"/>
        <v>5.3039007301542325E-2</v>
      </c>
      <c r="FL130" s="101"/>
      <c r="FM130" s="101"/>
      <c r="FN130" s="101"/>
      <c r="FO130" s="101"/>
      <c r="FP130" s="374"/>
      <c r="FQ130" s="405"/>
      <c r="FR130" s="405"/>
    </row>
    <row r="131" spans="1:174">
      <c r="EL131" s="306" t="s">
        <v>302</v>
      </c>
      <c r="EM131" s="306" t="s">
        <v>580</v>
      </c>
      <c r="EN131" s="306">
        <v>34908.721899999997</v>
      </c>
      <c r="EO131" s="306">
        <v>0.68923638472262494</v>
      </c>
      <c r="EP131" s="308">
        <v>849128</v>
      </c>
      <c r="EQ131" s="308">
        <f t="shared" si="57"/>
        <v>45.754052716971799</v>
      </c>
      <c r="ER131" s="308">
        <f t="shared" si="58"/>
        <v>0.12108507432117839</v>
      </c>
      <c r="ET131" s="420" t="s">
        <v>303</v>
      </c>
      <c r="EU131" s="420" t="s">
        <v>582</v>
      </c>
      <c r="EV131" s="420">
        <v>4662.5794999999998</v>
      </c>
      <c r="EW131" s="420">
        <v>1</v>
      </c>
      <c r="EX131" s="421">
        <v>849129</v>
      </c>
      <c r="EY131" s="423">
        <f t="shared" si="59"/>
        <v>44.450062214538107</v>
      </c>
      <c r="EZ131" s="423">
        <f t="shared" si="60"/>
        <v>0.11763414970302481</v>
      </c>
      <c r="FA131">
        <v>0</v>
      </c>
      <c r="FD131" s="306" t="s">
        <v>303</v>
      </c>
      <c r="FE131" s="306" t="s">
        <v>582</v>
      </c>
      <c r="FF131" s="306">
        <v>4662.5794999999998</v>
      </c>
      <c r="FG131" s="306">
        <v>1</v>
      </c>
      <c r="FH131" s="307">
        <v>849129</v>
      </c>
      <c r="FI131" s="326">
        <f t="shared" si="61"/>
        <v>44.450062214538107</v>
      </c>
      <c r="FJ131" s="326">
        <f t="shared" si="50"/>
        <v>0.11763414970302481</v>
      </c>
      <c r="FL131" s="101"/>
      <c r="FM131" s="101"/>
      <c r="FN131" s="101"/>
      <c r="FO131" s="101"/>
      <c r="FP131" s="374"/>
      <c r="FQ131" s="405"/>
      <c r="FR131" s="405"/>
    </row>
    <row r="132" spans="1:174">
      <c r="EL132" s="306" t="s">
        <v>303</v>
      </c>
      <c r="EM132" s="306" t="s">
        <v>582</v>
      </c>
      <c r="EN132" s="306">
        <v>4662.5794999999998</v>
      </c>
      <c r="EO132" s="306">
        <v>1</v>
      </c>
      <c r="EP132" s="308">
        <v>849129</v>
      </c>
      <c r="EQ132" s="308">
        <f t="shared" si="57"/>
        <v>117.47783749149944</v>
      </c>
      <c r="ER132" s="308">
        <f t="shared" si="58"/>
        <v>0.31089732688254385</v>
      </c>
      <c r="ET132" s="420" t="s">
        <v>304</v>
      </c>
      <c r="EU132" s="420" t="s">
        <v>584</v>
      </c>
      <c r="EV132" s="420">
        <v>1500.06</v>
      </c>
      <c r="EW132" s="420">
        <v>0.43611638887745335</v>
      </c>
      <c r="EX132" s="421">
        <v>849130</v>
      </c>
      <c r="EY132" s="423">
        <f t="shared" si="59"/>
        <v>114.12971912299172</v>
      </c>
      <c r="EZ132" s="423">
        <f t="shared" si="60"/>
        <v>0.30203675306639133</v>
      </c>
      <c r="FA132">
        <v>0</v>
      </c>
      <c r="FD132" s="306" t="s">
        <v>304</v>
      </c>
      <c r="FE132" s="306" t="s">
        <v>584</v>
      </c>
      <c r="FF132" s="306">
        <v>1500.06</v>
      </c>
      <c r="FG132" s="306">
        <v>0.43611638887745335</v>
      </c>
      <c r="FH132" s="307">
        <v>849130</v>
      </c>
      <c r="FI132" s="326">
        <f t="shared" si="61"/>
        <v>114.12971912299172</v>
      </c>
      <c r="FJ132" s="326">
        <f t="shared" si="50"/>
        <v>0.30203675306639133</v>
      </c>
      <c r="FL132" s="101"/>
      <c r="FM132" s="101"/>
      <c r="FN132" s="101"/>
      <c r="FO132" s="101"/>
      <c r="FP132" s="374"/>
      <c r="FQ132" s="405"/>
      <c r="FR132" s="405"/>
    </row>
    <row r="133" spans="1:174">
      <c r="EL133" s="306" t="s">
        <v>304</v>
      </c>
      <c r="EM133" s="306" t="s">
        <v>584</v>
      </c>
      <c r="EN133" s="306">
        <v>1500.06</v>
      </c>
      <c r="EO133" s="306">
        <v>0.43611638887745335</v>
      </c>
      <c r="EP133" s="308">
        <v>849130</v>
      </c>
      <c r="EQ133" s="308">
        <f t="shared" si="57"/>
        <v>4.7266961689551934</v>
      </c>
      <c r="ER133" s="308">
        <f t="shared" si="58"/>
        <v>1.2508888785260991E-2</v>
      </c>
      <c r="ET133" s="420" t="s">
        <v>304</v>
      </c>
      <c r="EU133" s="420" t="s">
        <v>393</v>
      </c>
      <c r="EV133" s="420">
        <v>1939.5264</v>
      </c>
      <c r="EW133" s="420">
        <v>0.56388361112254659</v>
      </c>
      <c r="EX133" s="421">
        <v>849131</v>
      </c>
      <c r="EY133" s="423">
        <f t="shared" si="59"/>
        <v>4.5919853281399705</v>
      </c>
      <c r="EZ133" s="423">
        <f t="shared" si="60"/>
        <v>1.2152385454881053E-2</v>
      </c>
      <c r="FA133">
        <v>0</v>
      </c>
      <c r="FD133" s="306" t="s">
        <v>304</v>
      </c>
      <c r="FE133" s="306" t="s">
        <v>393</v>
      </c>
      <c r="FF133" s="306">
        <v>1939.5264</v>
      </c>
      <c r="FG133" s="306">
        <v>0.56388361112254659</v>
      </c>
      <c r="FH133" s="307">
        <v>849131</v>
      </c>
      <c r="FI133" s="326">
        <f t="shared" si="61"/>
        <v>4.5919853281399705</v>
      </c>
      <c r="FJ133" s="326">
        <f t="shared" si="50"/>
        <v>1.2152385454881053E-2</v>
      </c>
      <c r="FL133" s="101"/>
      <c r="FM133" s="101"/>
      <c r="FN133" s="101"/>
      <c r="FO133" s="101"/>
      <c r="FP133" s="374"/>
      <c r="FQ133" s="405"/>
      <c r="FR133" s="405"/>
    </row>
    <row r="134" spans="1:174">
      <c r="EL134" s="306" t="s">
        <v>304</v>
      </c>
      <c r="EM134" s="306" t="s">
        <v>393</v>
      </c>
      <c r="EN134" s="306">
        <v>1939.5264</v>
      </c>
      <c r="EO134" s="306">
        <v>0.56388361112254659</v>
      </c>
      <c r="EP134" s="308">
        <v>849131</v>
      </c>
      <c r="EQ134" s="308">
        <f t="shared" si="57"/>
        <v>6.1114568780365177</v>
      </c>
      <c r="ER134" s="308">
        <f t="shared" si="58"/>
        <v>1.6173566413128559E-2</v>
      </c>
      <c r="ET134" s="420" t="s">
        <v>305</v>
      </c>
      <c r="EU134" s="420" t="s">
        <v>679</v>
      </c>
      <c r="EV134" s="420">
        <v>2026.3647000000001</v>
      </c>
      <c r="EW134" s="420">
        <v>1</v>
      </c>
      <c r="EX134" s="421">
        <v>849132</v>
      </c>
      <c r="EY134" s="423">
        <f t="shared" si="59"/>
        <v>5.9372803570124768</v>
      </c>
      <c r="EZ134" s="423">
        <f t="shared" si="60"/>
        <v>1.5712619770354395E-2</v>
      </c>
      <c r="FA134">
        <v>0</v>
      </c>
      <c r="FD134" s="306" t="s">
        <v>305</v>
      </c>
      <c r="FE134" s="306" t="s">
        <v>679</v>
      </c>
      <c r="FF134" s="306">
        <v>2026.3647000000001</v>
      </c>
      <c r="FG134" s="306">
        <v>1</v>
      </c>
      <c r="FH134" s="307">
        <v>849132</v>
      </c>
      <c r="FI134" s="326">
        <f t="shared" si="61"/>
        <v>5.9372803570124768</v>
      </c>
      <c r="FJ134" s="326">
        <f t="shared" si="50"/>
        <v>1.5712619770354395E-2</v>
      </c>
      <c r="FL134" s="101"/>
      <c r="FM134" s="101"/>
      <c r="FN134" s="101"/>
      <c r="FO134" s="101"/>
      <c r="FP134" s="374"/>
      <c r="FQ134" s="405"/>
      <c r="FR134" s="405"/>
    </row>
    <row r="135" spans="1:174">
      <c r="EL135" s="306" t="s">
        <v>305</v>
      </c>
      <c r="EM135" s="306" t="s">
        <v>679</v>
      </c>
      <c r="EN135" s="306">
        <v>2026.3647000000001</v>
      </c>
      <c r="EO135" s="306">
        <v>1</v>
      </c>
      <c r="EP135" s="308">
        <v>849132</v>
      </c>
      <c r="EQ135" s="308">
        <f t="shared" si="57"/>
        <v>33.482151377313677</v>
      </c>
      <c r="ER135" s="308">
        <f t="shared" si="58"/>
        <v>8.8608299095024851E-2</v>
      </c>
      <c r="ET135" s="420" t="s">
        <v>47</v>
      </c>
      <c r="EU135" s="420" t="s">
        <v>680</v>
      </c>
      <c r="EV135" s="420">
        <v>41993.0622</v>
      </c>
      <c r="EW135" s="420">
        <v>0.3967757985704885</v>
      </c>
      <c r="EX135" s="421">
        <v>849133</v>
      </c>
      <c r="EY135" s="423">
        <f t="shared" si="59"/>
        <v>32.52791006306024</v>
      </c>
      <c r="EZ135" s="423">
        <f t="shared" si="60"/>
        <v>8.6082962570816643E-2</v>
      </c>
      <c r="FA135">
        <v>0</v>
      </c>
      <c r="FD135" s="306" t="s">
        <v>47</v>
      </c>
      <c r="FE135" s="306" t="s">
        <v>680</v>
      </c>
      <c r="FF135" s="306">
        <v>41993.0622</v>
      </c>
      <c r="FG135" s="306">
        <v>0.3967757985704885</v>
      </c>
      <c r="FH135" s="307">
        <v>849133</v>
      </c>
      <c r="FI135" s="326">
        <f t="shared" si="61"/>
        <v>32.52791006306024</v>
      </c>
      <c r="FJ135" s="326">
        <f t="shared" si="50"/>
        <v>8.6082962570816643E-2</v>
      </c>
      <c r="FL135" s="101"/>
      <c r="FM135" s="101"/>
      <c r="FN135" s="101"/>
      <c r="FO135" s="101"/>
      <c r="FP135" s="374"/>
      <c r="FQ135" s="405"/>
      <c r="FR135" s="405"/>
    </row>
    <row r="136" spans="1:174">
      <c r="EL136" s="306" t="s">
        <v>47</v>
      </c>
      <c r="EM136" s="306" t="s">
        <v>680</v>
      </c>
      <c r="EN136" s="306">
        <v>41993.0622</v>
      </c>
      <c r="EO136" s="306">
        <v>0.3967757985704885</v>
      </c>
      <c r="EP136" s="308">
        <v>849133</v>
      </c>
      <c r="EQ136" s="308">
        <f t="shared" si="57"/>
        <v>1151.0258744394091</v>
      </c>
      <c r="ER136" s="308">
        <f t="shared" si="58"/>
        <v>3.0461138473182099</v>
      </c>
      <c r="ET136" s="420" t="s">
        <v>47</v>
      </c>
      <c r="EU136" s="420" t="s">
        <v>398</v>
      </c>
      <c r="EV136" s="420">
        <v>63842.682699999998</v>
      </c>
      <c r="EW136" s="420">
        <v>0.60322420142951161</v>
      </c>
      <c r="EX136" s="421">
        <v>849134</v>
      </c>
      <c r="EY136" s="423">
        <f t="shared" si="59"/>
        <v>1118.221637017886</v>
      </c>
      <c r="EZ136" s="423">
        <f t="shared" si="60"/>
        <v>2.959299602669641</v>
      </c>
      <c r="FA136">
        <v>0</v>
      </c>
      <c r="FD136" s="306" t="s">
        <v>47</v>
      </c>
      <c r="FE136" s="306" t="s">
        <v>398</v>
      </c>
      <c r="FF136" s="306">
        <v>63842.682699999998</v>
      </c>
      <c r="FG136" s="306">
        <v>0.60322420142951161</v>
      </c>
      <c r="FH136" s="307">
        <v>849134</v>
      </c>
      <c r="FI136" s="326">
        <f t="shared" si="61"/>
        <v>1118.221637017886</v>
      </c>
      <c r="FJ136" s="326">
        <f t="shared" si="50"/>
        <v>2.959299602669641</v>
      </c>
      <c r="FL136" s="101"/>
      <c r="FM136" s="101"/>
      <c r="FN136" s="101"/>
      <c r="FO136" s="101"/>
      <c r="FP136" s="374"/>
      <c r="FQ136" s="405"/>
      <c r="FR136" s="405"/>
    </row>
    <row r="137" spans="1:174">
      <c r="EL137" s="306" t="s">
        <v>47</v>
      </c>
      <c r="EM137" s="306" t="s">
        <v>398</v>
      </c>
      <c r="EN137" s="306">
        <v>63842.682699999998</v>
      </c>
      <c r="EO137" s="306">
        <v>0.60322420142951161</v>
      </c>
      <c r="EP137" s="308">
        <v>849134</v>
      </c>
      <c r="EQ137" s="308">
        <f t="shared" si="57"/>
        <v>1749.9219116562838</v>
      </c>
      <c r="ER137" s="308">
        <f t="shared" si="58"/>
        <v>4.6310525985507365</v>
      </c>
      <c r="EY137" s="431">
        <f>EY138-VLOOKUP($EV$138,장항공공주택지구_통행량제외분!$J$12:$P$18,2,FALSE)</f>
        <v>10074.934227908108</v>
      </c>
      <c r="EZ137" s="431">
        <f>EZ138-VLOOKUP($EV$138,장항공공주택지구_통행량제외분!$J$12:$P$18,4,FALSE)</f>
        <v>18.498646682387367</v>
      </c>
      <c r="FH137" s="277"/>
      <c r="FI137" s="310">
        <f t="shared" ref="FI137:FJ137" si="62">SUM(FI103:FI136)</f>
        <v>16357.265467659323</v>
      </c>
      <c r="FJ137" s="310">
        <f t="shared" si="62"/>
        <v>43.288421183028703</v>
      </c>
      <c r="FP137" s="277"/>
      <c r="FQ137" s="310"/>
      <c r="FR137" s="310"/>
    </row>
    <row r="138" spans="1:174">
      <c r="EQ138" s="310">
        <f>SUM(EQ103:EQ137)</f>
        <v>18587.045398696246</v>
      </c>
      <c r="ER138" s="310">
        <f>SUM(ER103:ER137)</f>
        <v>49.189386291838133</v>
      </c>
      <c r="EV138" s="432">
        <f>기준년도설정!B1</f>
        <v>2035</v>
      </c>
      <c r="EY138" s="310">
        <f>SUM(EY103:EY136)</f>
        <v>16357.265467659323</v>
      </c>
      <c r="EZ138" s="310">
        <f>SUM(EZ103:EZ136)</f>
        <v>43.288421183028703</v>
      </c>
      <c r="FH138" s="277"/>
    </row>
    <row r="139" spans="1:174">
      <c r="FA139" s="277"/>
    </row>
    <row r="140" spans="1:174">
      <c r="FA140" s="277"/>
    </row>
    <row r="141" spans="1:174">
      <c r="FA141" s="277"/>
    </row>
    <row r="142" spans="1:174" s="227" customFormat="1" ht="19.5">
      <c r="A142" s="329">
        <v>2025</v>
      </c>
      <c r="B142" s="282"/>
      <c r="C142" s="283"/>
      <c r="D142" s="284"/>
      <c r="E142" s="284"/>
      <c r="F142" s="284"/>
      <c r="G142" s="284"/>
      <c r="H142" s="284"/>
      <c r="I142" s="284"/>
      <c r="K142" s="282"/>
      <c r="L142" s="282"/>
      <c r="M142" s="283"/>
      <c r="N142" s="284"/>
      <c r="O142" s="284"/>
      <c r="P142" s="284"/>
      <c r="Q142" s="284"/>
      <c r="R142" s="284"/>
      <c r="S142" s="284"/>
    </row>
    <row r="143" spans="1:174" ht="23.5" thickBot="1">
      <c r="A143" s="32" t="s">
        <v>641</v>
      </c>
      <c r="C143" t="s">
        <v>463</v>
      </c>
      <c r="D143" t="s">
        <v>467</v>
      </c>
      <c r="E143" t="s">
        <v>470</v>
      </c>
      <c r="F143" t="s">
        <v>465</v>
      </c>
      <c r="G143" t="s">
        <v>466</v>
      </c>
      <c r="H143" t="s">
        <v>21</v>
      </c>
      <c r="K143" s="32" t="s">
        <v>471</v>
      </c>
      <c r="CV143" s="32" t="s">
        <v>492</v>
      </c>
      <c r="CY143" t="s">
        <v>478</v>
      </c>
      <c r="CZ143" t="s">
        <v>479</v>
      </c>
      <c r="ET143" s="353" t="s">
        <v>862</v>
      </c>
      <c r="FL143" s="353"/>
    </row>
    <row r="144" spans="1:174">
      <c r="A144" t="s">
        <v>462</v>
      </c>
      <c r="C144" t="s">
        <v>427</v>
      </c>
      <c r="D144" t="s">
        <v>428</v>
      </c>
      <c r="E144" t="s">
        <v>429</v>
      </c>
      <c r="F144" t="s">
        <v>430</v>
      </c>
      <c r="G144" t="s">
        <v>431</v>
      </c>
      <c r="H144" t="s">
        <v>457</v>
      </c>
      <c r="K144" s="159" t="s">
        <v>482</v>
      </c>
      <c r="L144" s="159"/>
      <c r="M144" s="443" t="s">
        <v>463</v>
      </c>
      <c r="N144" s="444"/>
      <c r="O144" s="444"/>
      <c r="P144" s="444"/>
      <c r="Q144" s="444"/>
      <c r="R144" s="444"/>
      <c r="S144" s="444"/>
      <c r="T144" s="444"/>
      <c r="U144" s="444"/>
      <c r="V144" s="444"/>
      <c r="W144" s="444"/>
      <c r="X144" s="444"/>
      <c r="Y144" s="444"/>
      <c r="Z144" s="445"/>
      <c r="AA144" s="443" t="s">
        <v>467</v>
      </c>
      <c r="AB144" s="444"/>
      <c r="AC144" s="444"/>
      <c r="AD144" s="444"/>
      <c r="AE144" s="444"/>
      <c r="AF144" s="444"/>
      <c r="AG144" s="444"/>
      <c r="AH144" s="444"/>
      <c r="AI144" s="444"/>
      <c r="AJ144" s="444"/>
      <c r="AK144" s="444"/>
      <c r="AL144" s="444"/>
      <c r="AM144" s="444"/>
      <c r="AN144" s="445"/>
      <c r="AO144" s="443" t="s">
        <v>464</v>
      </c>
      <c r="AP144" s="444"/>
      <c r="AQ144" s="444"/>
      <c r="AR144" s="444"/>
      <c r="AS144" s="444"/>
      <c r="AT144" s="444"/>
      <c r="AU144" s="444"/>
      <c r="AV144" s="444"/>
      <c r="AW144" s="444"/>
      <c r="AX144" s="444"/>
      <c r="AY144" s="444"/>
      <c r="AZ144" s="444"/>
      <c r="BA144" s="444"/>
      <c r="BB144" s="445"/>
      <c r="BC144" s="443" t="s">
        <v>465</v>
      </c>
      <c r="BD144" s="444"/>
      <c r="BE144" s="444"/>
      <c r="BF144" s="444"/>
      <c r="BG144" s="444"/>
      <c r="BH144" s="444"/>
      <c r="BI144" s="444"/>
      <c r="BJ144" s="444"/>
      <c r="BK144" s="444"/>
      <c r="BL144" s="444"/>
      <c r="BM144" s="444"/>
      <c r="BN144" s="444"/>
      <c r="BO144" s="444"/>
      <c r="BP144" s="445"/>
      <c r="BQ144" s="443" t="s">
        <v>466</v>
      </c>
      <c r="BR144" s="444"/>
      <c r="BS144" s="444"/>
      <c r="BT144" s="444"/>
      <c r="BU144" s="444"/>
      <c r="BV144" s="444"/>
      <c r="BW144" s="444"/>
      <c r="BX144" s="444"/>
      <c r="BY144" s="444"/>
      <c r="BZ144" s="444"/>
      <c r="CA144" s="444"/>
      <c r="CB144" s="444"/>
      <c r="CC144" s="444"/>
      <c r="CD144" s="445"/>
      <c r="CE144" s="443" t="s">
        <v>21</v>
      </c>
      <c r="CF144" s="444"/>
      <c r="CG144" s="444"/>
      <c r="CH144" s="444"/>
      <c r="CI144" s="444"/>
      <c r="CJ144" s="444"/>
      <c r="CK144" s="444"/>
      <c r="CL144" s="444"/>
      <c r="CM144" s="444"/>
      <c r="CN144" s="444"/>
      <c r="CO144" s="444"/>
      <c r="CP144" s="444"/>
      <c r="CQ144" s="444"/>
      <c r="CR144" s="445"/>
      <c r="CV144" s="263" t="s">
        <v>482</v>
      </c>
      <c r="CW144" s="263"/>
      <c r="CX144" s="446" t="s">
        <v>554</v>
      </c>
      <c r="CY144" s="439"/>
      <c r="CZ144" s="439"/>
      <c r="DA144" s="440"/>
      <c r="DB144" s="438" t="s">
        <v>553</v>
      </c>
      <c r="DC144" s="439"/>
      <c r="DD144" s="439"/>
      <c r="DE144" s="440"/>
      <c r="DF144" s="438" t="s">
        <v>464</v>
      </c>
      <c r="DG144" s="439"/>
      <c r="DH144" s="439"/>
      <c r="DI144" s="440"/>
      <c r="DJ144" s="438" t="s">
        <v>465</v>
      </c>
      <c r="DK144" s="439"/>
      <c r="DL144" s="439"/>
      <c r="DM144" s="440"/>
      <c r="DN144" s="438" t="s">
        <v>466</v>
      </c>
      <c r="DO144" s="439"/>
      <c r="DP144" s="439"/>
      <c r="DQ144" s="440"/>
      <c r="DR144" s="438" t="s">
        <v>21</v>
      </c>
      <c r="DS144" s="439"/>
      <c r="DT144" s="439"/>
      <c r="DU144" s="441"/>
      <c r="DW144" s="278"/>
      <c r="DX144" s="278"/>
      <c r="DY144" s="442" t="s">
        <v>588</v>
      </c>
      <c r="DZ144" s="442"/>
      <c r="EB144" s="278"/>
      <c r="EC144" s="278"/>
      <c r="ED144" s="442" t="s">
        <v>588</v>
      </c>
      <c r="EE144" s="442"/>
      <c r="EI144" t="s">
        <v>599</v>
      </c>
    </row>
    <row r="145" spans="1:174">
      <c r="A145" s="199"/>
      <c r="B145" s="199"/>
      <c r="C145" s="202" t="s">
        <v>463</v>
      </c>
      <c r="D145" s="202" t="s">
        <v>467</v>
      </c>
      <c r="E145" s="202" t="s">
        <v>464</v>
      </c>
      <c r="F145" s="202" t="s">
        <v>465</v>
      </c>
      <c r="G145" s="202" t="s">
        <v>678</v>
      </c>
      <c r="H145" s="202" t="s">
        <v>21</v>
      </c>
      <c r="K145" s="159"/>
      <c r="L145" s="159"/>
      <c r="M145" s="211" t="s">
        <v>472</v>
      </c>
      <c r="N145" s="160" t="s">
        <v>156</v>
      </c>
      <c r="O145" s="160" t="s">
        <v>475</v>
      </c>
      <c r="P145" s="160" t="s">
        <v>476</v>
      </c>
      <c r="Q145" s="160" t="s">
        <v>477</v>
      </c>
      <c r="R145" s="160" t="s">
        <v>478</v>
      </c>
      <c r="S145" s="160" t="s">
        <v>479</v>
      </c>
      <c r="T145" s="160" t="s">
        <v>480</v>
      </c>
      <c r="U145" s="160" t="s">
        <v>449</v>
      </c>
      <c r="V145" s="160" t="s">
        <v>157</v>
      </c>
      <c r="W145" s="160" t="s">
        <v>473</v>
      </c>
      <c r="X145" s="160" t="s">
        <v>474</v>
      </c>
      <c r="Y145" s="160" t="s">
        <v>46</v>
      </c>
      <c r="Z145" s="212" t="s">
        <v>11</v>
      </c>
      <c r="AA145" s="211" t="s">
        <v>472</v>
      </c>
      <c r="AB145" s="160" t="s">
        <v>156</v>
      </c>
      <c r="AC145" s="160" t="s">
        <v>475</v>
      </c>
      <c r="AD145" s="160" t="s">
        <v>476</v>
      </c>
      <c r="AE145" s="160" t="s">
        <v>477</v>
      </c>
      <c r="AF145" s="160" t="s">
        <v>478</v>
      </c>
      <c r="AG145" s="160" t="s">
        <v>479</v>
      </c>
      <c r="AH145" s="160" t="s">
        <v>480</v>
      </c>
      <c r="AI145" s="160" t="s">
        <v>449</v>
      </c>
      <c r="AJ145" s="160" t="s">
        <v>157</v>
      </c>
      <c r="AK145" s="160" t="s">
        <v>473</v>
      </c>
      <c r="AL145" s="160" t="s">
        <v>474</v>
      </c>
      <c r="AM145" s="160" t="s">
        <v>46</v>
      </c>
      <c r="AN145" s="212" t="s">
        <v>11</v>
      </c>
      <c r="AO145" s="211" t="s">
        <v>472</v>
      </c>
      <c r="AP145" s="160" t="s">
        <v>156</v>
      </c>
      <c r="AQ145" s="160" t="s">
        <v>475</v>
      </c>
      <c r="AR145" s="160" t="s">
        <v>476</v>
      </c>
      <c r="AS145" s="160" t="s">
        <v>477</v>
      </c>
      <c r="AT145" s="160" t="s">
        <v>478</v>
      </c>
      <c r="AU145" s="160" t="s">
        <v>479</v>
      </c>
      <c r="AV145" s="160" t="s">
        <v>480</v>
      </c>
      <c r="AW145" s="160" t="s">
        <v>449</v>
      </c>
      <c r="AX145" s="160" t="s">
        <v>157</v>
      </c>
      <c r="AY145" s="160" t="s">
        <v>473</v>
      </c>
      <c r="AZ145" s="160" t="s">
        <v>474</v>
      </c>
      <c r="BA145" s="160" t="s">
        <v>46</v>
      </c>
      <c r="BB145" s="212" t="s">
        <v>11</v>
      </c>
      <c r="BC145" s="211" t="s">
        <v>472</v>
      </c>
      <c r="BD145" s="160" t="s">
        <v>156</v>
      </c>
      <c r="BE145" s="160" t="s">
        <v>475</v>
      </c>
      <c r="BF145" s="160" t="s">
        <v>476</v>
      </c>
      <c r="BG145" s="160" t="s">
        <v>477</v>
      </c>
      <c r="BH145" s="160" t="s">
        <v>478</v>
      </c>
      <c r="BI145" s="160" t="s">
        <v>479</v>
      </c>
      <c r="BJ145" s="160" t="s">
        <v>480</v>
      </c>
      <c r="BK145" s="160" t="s">
        <v>449</v>
      </c>
      <c r="BL145" s="160" t="s">
        <v>157</v>
      </c>
      <c r="BM145" s="160" t="s">
        <v>473</v>
      </c>
      <c r="BN145" s="160" t="s">
        <v>474</v>
      </c>
      <c r="BO145" s="160" t="s">
        <v>46</v>
      </c>
      <c r="BP145" s="212" t="s">
        <v>11</v>
      </c>
      <c r="BQ145" s="211" t="s">
        <v>472</v>
      </c>
      <c r="BR145" s="160" t="s">
        <v>156</v>
      </c>
      <c r="BS145" s="160" t="s">
        <v>475</v>
      </c>
      <c r="BT145" s="160" t="s">
        <v>476</v>
      </c>
      <c r="BU145" s="160" t="s">
        <v>477</v>
      </c>
      <c r="BV145" s="160" t="s">
        <v>478</v>
      </c>
      <c r="BW145" s="160" t="s">
        <v>479</v>
      </c>
      <c r="BX145" s="160" t="s">
        <v>480</v>
      </c>
      <c r="BY145" s="160" t="s">
        <v>449</v>
      </c>
      <c r="BZ145" s="160" t="s">
        <v>157</v>
      </c>
      <c r="CA145" s="160" t="s">
        <v>473</v>
      </c>
      <c r="CB145" s="160" t="s">
        <v>474</v>
      </c>
      <c r="CC145" s="160" t="s">
        <v>46</v>
      </c>
      <c r="CD145" s="212" t="s">
        <v>11</v>
      </c>
      <c r="CE145" s="211" t="s">
        <v>472</v>
      </c>
      <c r="CF145" s="160" t="s">
        <v>156</v>
      </c>
      <c r="CG145" s="160" t="s">
        <v>475</v>
      </c>
      <c r="CH145" s="160" t="s">
        <v>476</v>
      </c>
      <c r="CI145" s="160" t="s">
        <v>477</v>
      </c>
      <c r="CJ145" s="160" t="s">
        <v>478</v>
      </c>
      <c r="CK145" s="160" t="s">
        <v>479</v>
      </c>
      <c r="CL145" s="160" t="s">
        <v>480</v>
      </c>
      <c r="CM145" s="160" t="s">
        <v>449</v>
      </c>
      <c r="CN145" s="160" t="s">
        <v>157</v>
      </c>
      <c r="CO145" s="160" t="s">
        <v>473</v>
      </c>
      <c r="CP145" s="160" t="s">
        <v>474</v>
      </c>
      <c r="CQ145" s="160" t="s">
        <v>46</v>
      </c>
      <c r="CR145" s="212" t="s">
        <v>11</v>
      </c>
      <c r="CV145" s="263"/>
      <c r="CW145" s="263"/>
      <c r="CX145" s="264" t="s">
        <v>156</v>
      </c>
      <c r="CY145" s="264" t="s">
        <v>478</v>
      </c>
      <c r="CZ145" s="264" t="s">
        <v>479</v>
      </c>
      <c r="DA145" s="264" t="s">
        <v>157</v>
      </c>
      <c r="DB145" s="264" t="s">
        <v>156</v>
      </c>
      <c r="DC145" s="264" t="s">
        <v>478</v>
      </c>
      <c r="DD145" s="264" t="s">
        <v>479</v>
      </c>
      <c r="DE145" s="264" t="s">
        <v>157</v>
      </c>
      <c r="DF145" s="264" t="s">
        <v>156</v>
      </c>
      <c r="DG145" s="264" t="s">
        <v>478</v>
      </c>
      <c r="DH145" s="264" t="s">
        <v>479</v>
      </c>
      <c r="DI145" s="264" t="s">
        <v>157</v>
      </c>
      <c r="DJ145" s="264" t="s">
        <v>156</v>
      </c>
      <c r="DK145" s="264" t="s">
        <v>478</v>
      </c>
      <c r="DL145" s="264" t="s">
        <v>479</v>
      </c>
      <c r="DM145" s="264" t="s">
        <v>157</v>
      </c>
      <c r="DN145" s="264" t="s">
        <v>156</v>
      </c>
      <c r="DO145" s="264" t="s">
        <v>478</v>
      </c>
      <c r="DP145" s="264" t="s">
        <v>479</v>
      </c>
      <c r="DQ145" s="264" t="s">
        <v>157</v>
      </c>
      <c r="DR145" s="264" t="s">
        <v>156</v>
      </c>
      <c r="DS145" s="264" t="s">
        <v>478</v>
      </c>
      <c r="DT145" s="264" t="s">
        <v>479</v>
      </c>
      <c r="DU145" s="264" t="s">
        <v>157</v>
      </c>
      <c r="DW145" s="278"/>
      <c r="DX145" s="278"/>
      <c r="DY145" s="280" t="s">
        <v>585</v>
      </c>
      <c r="DZ145" s="280" t="s">
        <v>259</v>
      </c>
      <c r="EB145" s="278"/>
      <c r="EC145" s="278"/>
      <c r="ED145" s="280" t="s">
        <v>585</v>
      </c>
      <c r="EE145" s="280" t="s">
        <v>259</v>
      </c>
      <c r="EL145" s="306" t="s">
        <v>564</v>
      </c>
      <c r="EM145" s="306" t="s">
        <v>565</v>
      </c>
      <c r="EN145" s="306" t="s">
        <v>566</v>
      </c>
      <c r="EO145" s="306" t="s">
        <v>562</v>
      </c>
      <c r="EP145" s="307" t="s">
        <v>597</v>
      </c>
      <c r="EQ145" s="307" t="s">
        <v>585</v>
      </c>
      <c r="ER145" s="307" t="s">
        <v>259</v>
      </c>
      <c r="ET145" s="420" t="s">
        <v>564</v>
      </c>
      <c r="EU145" s="420" t="s">
        <v>565</v>
      </c>
      <c r="EV145" s="420" t="s">
        <v>566</v>
      </c>
      <c r="EW145" s="420" t="s">
        <v>562</v>
      </c>
      <c r="EX145" s="421" t="s">
        <v>597</v>
      </c>
      <c r="EY145" s="421" t="s">
        <v>585</v>
      </c>
      <c r="EZ145" s="421" t="s">
        <v>259</v>
      </c>
      <c r="FA145" s="424" t="s">
        <v>865</v>
      </c>
      <c r="FD145" s="306" t="s">
        <v>564</v>
      </c>
      <c r="FE145" s="306" t="s">
        <v>565</v>
      </c>
      <c r="FF145" s="306" t="s">
        <v>566</v>
      </c>
      <c r="FG145" s="306" t="s">
        <v>562</v>
      </c>
      <c r="FH145" s="307" t="s">
        <v>597</v>
      </c>
      <c r="FI145" s="307" t="s">
        <v>585</v>
      </c>
      <c r="FJ145" s="307" t="s">
        <v>259</v>
      </c>
      <c r="FL145" s="101"/>
      <c r="FM145" s="101"/>
      <c r="FN145" s="101"/>
      <c r="FO145" s="101"/>
      <c r="FP145" s="374"/>
      <c r="FQ145" s="374"/>
      <c r="FR145" s="374"/>
    </row>
    <row r="146" spans="1:174">
      <c r="A146" s="205"/>
      <c r="B146" s="205" t="s">
        <v>12</v>
      </c>
      <c r="C146" s="400">
        <f>$AB61*KTDB_TripDistribution_2035!T$12 * (1+KTDB_발생량도착량_증가율!$C$7*2) * (1+KTDB_발생량도착량_증가율!$D$8*5)* (1+KTDB_발생량도착량_증가율!$E$8*5)</f>
        <v>65.092459633441237</v>
      </c>
      <c r="D146" s="400">
        <f>$AB61*KTDB_TripDistribution_2035!U$12 * (1+KTDB_발생량도착량_증가율!$C$7*2) * (1+KTDB_발생량도착량_증가율!$D$8*5)* (1+KTDB_발생량도착량_증가율!$E$8*5)</f>
        <v>471.08744709340664</v>
      </c>
      <c r="E146" s="400">
        <f>$AB61*KTDB_TripDistribution_2035!V$12 * (1+KTDB_발생량도착량_증가율!$C$7*2) * (1+KTDB_발생량도착량_증가율!$D$8*5)* (1+KTDB_발생량도착량_증가율!$E$8*5)</f>
        <v>27.025120800400074</v>
      </c>
      <c r="F146" s="400">
        <f>$AB61*KTDB_TripDistribution_2035!W$12 * (1+KTDB_발생량도착량_증가율!$C$7*2) * (1+KTDB_발생량도착량_증가율!$D$8*5)* (1+KTDB_발생량도착량_증가율!$E$8*5)</f>
        <v>4.2470069356312146E-2</v>
      </c>
      <c r="G146" s="400">
        <f>$AB61*KTDB_TripDistribution_2035!X$12 * (1+KTDB_발생량도착량_증가율!$C$7*2) * (1+KTDB_발생량도착량_증가율!$D$8*5)* (1+KTDB_발생량도착량_증가율!$E$8*5)</f>
        <v>0.16044248423495752</v>
      </c>
      <c r="H146" s="400">
        <f>$AB61*KTDB_TripDistribution_2035!Y$12 * (1+KTDB_발생량도착량_증가율!$C$7*2) * (1+KTDB_발생량도착량_증가율!$D$8*5)* (1+KTDB_발생량도착량_증가율!$E$8*5)</f>
        <v>563.40794008083924</v>
      </c>
      <c r="J146" s="230">
        <f t="shared" ref="J146:J150" si="63">CR146</f>
        <v>563.40794008083924</v>
      </c>
      <c r="K146" s="206"/>
      <c r="L146" s="206" t="s">
        <v>12</v>
      </c>
      <c r="M146" s="206">
        <f>INDEX($A$145:$H$158,MATCH($L146,$B$145:$B$158,0),MATCH($M$144,$A$145:$H$145,0))*고양시_Modal_split!C$3 * 0.01</f>
        <v>0.18225888697363543</v>
      </c>
      <c r="N146" s="206">
        <f>INDEX($A$145:$H$158,MATCH($L146,$B$145:$B$158,0),MATCH($M$144,$A$145:$H$145,0))*고양시_Modal_split!D$3 * 0.01</f>
        <v>30.612983765607414</v>
      </c>
      <c r="O146" s="206">
        <f>INDEX($A$145:$H$158,MATCH($L146,$B$145:$B$158,0),MATCH($M$144,$A$145:$H$145,0))*고양시_Modal_split!E$3 * 0.01</f>
        <v>3.7037609531428064</v>
      </c>
      <c r="P146" s="206">
        <f>INDEX($A$145:$H$158,MATCH($L146,$B$145:$B$158,0),MATCH($M$144,$A$145:$H$145,0))*고양시_Modal_split!F$3 * 0.01</f>
        <v>5.9689785483865618</v>
      </c>
      <c r="Q146" s="206">
        <f>INDEX($A$145:$H$158,MATCH($L146,$B$145:$B$158,0),MATCH($M$144,$A$145:$H$145,0))*고양시_Modal_split!G$3 * 0.01</f>
        <v>0.59885062862765936</v>
      </c>
      <c r="R146" s="206">
        <f>INDEX($A$145:$H$158,MATCH($L146,$B$145:$B$158,0),MATCH($M$144,$A$145:$H$145,0))*고양시_Modal_split!H$3 * 0.01</f>
        <v>6.5092459633441235E-3</v>
      </c>
      <c r="S146" s="206">
        <f>INDEX($A$145:$H$158,MATCH($L146,$B$145:$B$158,0),MATCH($M$144,$A$145:$H$145,0))*고양시_Modal_split!I$3 * 0.01</f>
        <v>1.8095703778096663</v>
      </c>
      <c r="T146" s="206">
        <f>INDEX($A$145:$H$158,MATCH($L146,$B$145:$B$158,0),MATCH($M$144,$A$145:$H$145,0))*고양시_Modal_split!J$3 * 0.01</f>
        <v>19.814144712419512</v>
      </c>
      <c r="U146" s="206">
        <f>INDEX($A$145:$H$158,MATCH($L146,$B$145:$B$158,0),MATCH($M$144,$A$145:$H$145,0))*고양시_Modal_split!K$3 * 0.01</f>
        <v>9.7638689450161853E-2</v>
      </c>
      <c r="V146" s="206">
        <f>INDEX($A$145:$H$158,MATCH($L146,$B$145:$B$158,0),MATCH($M$144,$A$145:$H$145,0))*고양시_Modal_split!L$3 * 0.01</f>
        <v>1.9657922809299253</v>
      </c>
      <c r="W146" s="206">
        <f>INDEX($A$145:$H$158,MATCH($L146,$B$145:$B$158,0),MATCH($M$144,$A$145:$H$145,0))*고양시_Modal_split!M$3 * 0.01</f>
        <v>0.14971265715691484</v>
      </c>
      <c r="X146" s="206">
        <f>INDEX($A$145:$H$158,MATCH($L146,$B$145:$B$158,0),MATCH($M$144,$A$145:$H$145,0))*고양시_Modal_split!N$3 * 0.01</f>
        <v>6.5092459633441249E-2</v>
      </c>
      <c r="Y146" s="206">
        <f>INDEX($A$145:$H$158,MATCH($L146,$B$145:$B$158,0),MATCH($M$144,$A$145:$H$145,0))*고양시_Modal_split!O$3 * 0.01</f>
        <v>0.11716642734019422</v>
      </c>
      <c r="Z146" s="209">
        <f>INDEX($A$145:$H$158,MATCH($L146,$B$145:$B$158,0),MATCH($M$144,$A$145:$H$145,0))*고양시_Modal_split!P$3 * 0.01</f>
        <v>65.092459633441237</v>
      </c>
      <c r="AA146" s="207">
        <f>INDEX($A$145:$H$158,MATCH($L146,$B$145:$B$158,0),MATCH($AA$144,$A$145:$H$145,0))*고양시_Modal_split!C$3 * 0.01</f>
        <v>1.3190448518615383</v>
      </c>
      <c r="AB146" s="207">
        <f>INDEX($A$145:$H$158,MATCH($L146,$B$145:$B$158,0),MATCH($AA$144,$A$145:$H$145,0))*고양시_Modal_split!D$3 * 0.01</f>
        <v>221.55242636802916</v>
      </c>
      <c r="AC146" s="207">
        <f>INDEX($A$145:$H$158,MATCH($L146,$B$145:$B$158,0),MATCH($AA$144,$A$145:$H$145,0))*고양시_Modal_split!E$3 * 0.01</f>
        <v>26.804875739614836</v>
      </c>
      <c r="AD146" s="207">
        <f>INDEX($A$145:$H$158,MATCH($L146,$B$145:$B$158,0),MATCH($AA$144,$A$145:$H$145,0))*고양시_Modal_split!F$3 * 0.01</f>
        <v>43.198718898465387</v>
      </c>
      <c r="AE146" s="207">
        <f>INDEX($A$145:$H$158,MATCH($L146,$B$145:$B$158,0),MATCH($AA$144,$A$145:$H$145,0))*고양시_Modal_split!G$3 * 0.01</f>
        <v>4.334004513259341</v>
      </c>
      <c r="AF146" s="207">
        <f>INDEX($A$145:$H$158,MATCH($L146,$B$145:$B$158,0),MATCH($AA$144,$A$145:$H$145,0))*고양시_Modal_split!H$3 * 0.01</f>
        <v>4.7108744709340664E-2</v>
      </c>
      <c r="AG146" s="207">
        <f>INDEX($A$145:$H$158,MATCH($L146,$B$145:$B$158,0),MATCH($AA$144,$A$145:$H$145,0))*고양시_Modal_split!I$3 * 0.01</f>
        <v>13.096231029196703</v>
      </c>
      <c r="AH146" s="207">
        <f>INDEX($A$145:$H$158,MATCH($L146,$B$145:$B$158,0),MATCH($AA$144,$A$145:$H$145,0))*고양시_Modal_split!J$3 * 0.01</f>
        <v>143.39901889523298</v>
      </c>
      <c r="AI146" s="207">
        <f>INDEX($A$145:$H$158,MATCH($L146,$B$145:$B$158,0),MATCH($AA$144,$A$145:$H$145,0))*고양시_Modal_split!K$3 * 0.01</f>
        <v>0.70663117064010994</v>
      </c>
      <c r="AJ146" s="207">
        <f>INDEX($A$145:$H$158,MATCH($L146,$B$145:$B$158,0),MATCH($AA$144,$A$145:$H$145,0))*고양시_Modal_split!L$3 * 0.01</f>
        <v>14.226840902220882</v>
      </c>
      <c r="AK146" s="207">
        <f>INDEX($A$145:$H$158,MATCH($L146,$B$145:$B$158,0),MATCH($AA$144,$A$145:$H$145,0))*고양시_Modal_split!M$3 * 0.01</f>
        <v>1.0835011283148352</v>
      </c>
      <c r="AL146" s="207">
        <f>INDEX($A$145:$H$158,MATCH($L146,$B$145:$B$158,0),MATCH($AA$144,$A$145:$H$145,0))*고양시_Modal_split!N$3 * 0.01</f>
        <v>0.47108744709340672</v>
      </c>
      <c r="AM146" s="207">
        <f>INDEX($A$145:$H$158,MATCH($L146,$B$145:$B$158,0),MATCH($AA$144,$A$145:$H$145,0))*고양시_Modal_split!O$3 * 0.01</f>
        <v>0.84795740476813197</v>
      </c>
      <c r="AN146" s="207">
        <f>INDEX($A$145:$H$158,MATCH($L146,$B$145:$B$158,0),MATCH($AA$144,$A$145:$H$145,0))*고양시_Modal_split!P$3 * 0.01</f>
        <v>471.08744709340669</v>
      </c>
      <c r="AO146" s="303">
        <f>INDEX($A$145:$H$158,MATCH($L146,$B$145:$B$158,0),MATCH($AO$144,$A$145:$H$145,0))*고양시_Modal_split!C$3 * 0.01</f>
        <v>7.5670338241120197E-2</v>
      </c>
      <c r="AP146" s="303">
        <f>INDEX($A$145:$H$158,MATCH($L146,$B$145:$B$158,0),MATCH($AO$144,$A$145:$H$145,0))*고양시_Modal_split!D$3 * 0.01</f>
        <v>12.709914312428154</v>
      </c>
      <c r="AQ146" s="303">
        <f>INDEX($A$145:$H$158,MATCH($L146,$B$145:$B$158,0),MATCH($AO$144,$A$145:$H$145,0))*고양시_Modal_split!E$3 * 0.01</f>
        <v>1.5377293735427642</v>
      </c>
      <c r="AR146" s="303">
        <f>INDEX($A$145:$H$158,MATCH($L146,$B$145:$B$158,0),MATCH($AO$144,$A$145:$H$145,0))*고양시_Modal_split!F$3 * 0.01</f>
        <v>2.4782035773966871</v>
      </c>
      <c r="AS146" s="303">
        <f>INDEX($A$145:$H$158,MATCH($L146,$B$145:$B$158,0),MATCH($AO$144,$A$145:$H$145,0))*고양시_Modal_split!G$3 * 0.01</f>
        <v>0.24863111136368066</v>
      </c>
      <c r="AT146" s="303">
        <f>INDEX($A$145:$H$158,MATCH($L146,$B$145:$B$158,0),MATCH($AO$144,$A$145:$H$145,0))*고양시_Modal_split!H$3 * 0.01</f>
        <v>2.7025120800400078E-3</v>
      </c>
      <c r="AU146" s="303">
        <f>INDEX($A$145:$H$158,MATCH($L146,$B$145:$B$158,0),MATCH($AO$144,$A$145:$H$145,0))*고양시_Modal_split!I$3 * 0.01</f>
        <v>0.75129835825112201</v>
      </c>
      <c r="AV146" s="303">
        <f>INDEX($A$145:$H$158,MATCH($L146,$B$145:$B$158,0),MATCH($AO$144,$A$145:$H$145,0))*고양시_Modal_split!J$3 * 0.01</f>
        <v>8.2264467716417844</v>
      </c>
      <c r="AW146" s="303">
        <f>INDEX($A$145:$H$158,MATCH($L146,$B$145:$B$158,0),MATCH($AO$144,$A$145:$H$145,0))*고양시_Modal_split!K$3 * 0.01</f>
        <v>4.0537681200600105E-2</v>
      </c>
      <c r="AX146" s="303">
        <f>INDEX($A$145:$H$158,MATCH($L146,$B$145:$B$158,0),MATCH($AO$144,$A$145:$H$145,0))*고양시_Modal_split!L$3 * 0.01</f>
        <v>0.81615864817208217</v>
      </c>
      <c r="AY146" s="303">
        <f>INDEX($A$145:$H$158,MATCH($L146,$B$145:$B$158,0),MATCH($AO$144,$A$145:$H$145,0))*고양시_Modal_split!M$3 * 0.01</f>
        <v>6.2157777840920164E-2</v>
      </c>
      <c r="AZ146" s="303">
        <f>INDEX($A$145:$H$158,MATCH($L146,$B$145:$B$158,0),MATCH($AO$144,$A$145:$H$145,0))*고양시_Modal_split!N$3 * 0.01</f>
        <v>2.7025120800400076E-2</v>
      </c>
      <c r="BA146" s="207">
        <f>INDEX($A$145:$H$158,MATCH($L146,$B$145:$B$158,0),MATCH($AO$144,$A$145:$H$145,0))*고양시_Modal_split!O$3 * 0.01</f>
        <v>4.8645217440720138E-2</v>
      </c>
      <c r="BB146" s="207">
        <f>INDEX($A$145:$H$158,MATCH($L146,$B$145:$B$158,0),MATCH($AO$144,$A$145:$H$145,0))*고양시_Modal_split!P$3 * 0.01</f>
        <v>27.025120800400074</v>
      </c>
      <c r="BC146" s="207">
        <f>INDEX($A$145:$H$158,MATCH($L146,$B$145:$B$158,0),MATCH($BC$144,$A$145:$H$145,0))*고양시_Modal_split!C$3 * 0.01</f>
        <v>1.1891619419767398E-4</v>
      </c>
      <c r="BD146" s="207">
        <f>INDEX($A$145:$H$158,MATCH($L146,$B$145:$B$158,0),MATCH($BC$144,$A$145:$H$145,0))*고양시_Modal_split!D$3 * 0.01</f>
        <v>1.9973673618273603E-2</v>
      </c>
      <c r="BE146" s="207">
        <f>INDEX($A$145:$H$158,MATCH($L146,$B$145:$B$158,0),MATCH($BC$144,$A$145:$H$145,0))*고양시_Modal_split!E$3 * 0.01</f>
        <v>2.4165469463741612E-3</v>
      </c>
      <c r="BF146" s="207">
        <f>INDEX($A$145:$H$158,MATCH($L146,$B$145:$B$158,0),MATCH($BC$144,$A$145:$H$145,0))*고양시_Modal_split!F$3 * 0.01</f>
        <v>3.8945053599738241E-3</v>
      </c>
      <c r="BG146" s="207">
        <f>INDEX($A$145:$H$158,MATCH($L146,$B$145:$B$158,0),MATCH($BC$144,$A$145:$H$145,0))*고양시_Modal_split!G$3 * 0.01</f>
        <v>3.9072463807807172E-4</v>
      </c>
      <c r="BH146" s="207">
        <f>INDEX($A$145:$H$158,MATCH($L146,$B$145:$B$158,0),MATCH($BC$144,$A$145:$H$145,0))*고양시_Modal_split!H$3 * 0.01</f>
        <v>4.2470069356312145E-6</v>
      </c>
      <c r="BI146" s="207">
        <f>INDEX($A$145:$H$158,MATCH($L146,$B$145:$B$158,0),MATCH($BC$144,$A$145:$H$145,0))*고양시_Modal_split!I$3 * 0.01</f>
        <v>1.1806679281054775E-3</v>
      </c>
      <c r="BJ146" s="207">
        <f>INDEX($A$145:$H$158,MATCH($L146,$B$145:$B$158,0),MATCH($BC$144,$A$145:$H$145,0))*고양시_Modal_split!J$3 * 0.01</f>
        <v>1.2927889112061417E-2</v>
      </c>
      <c r="BK146" s="207">
        <f>INDEX($A$145:$H$158,MATCH($L146,$B$145:$B$158,0),MATCH($BC$144,$A$145:$H$145,0))*고양시_Modal_split!K$3 * 0.01</f>
        <v>6.3705104034468215E-5</v>
      </c>
      <c r="BL146" s="207">
        <f>INDEX($A$145:$H$158,MATCH($L146,$B$145:$B$158,0),MATCH($BC$144,$A$145:$H$145,0))*고양시_Modal_split!L$3 * 0.01</f>
        <v>1.2825960945606269E-3</v>
      </c>
      <c r="BM146" s="207">
        <f>INDEX($A$145:$H$158,MATCH($L146,$B$145:$B$158,0),MATCH($BC$144,$A$145:$H$145,0))*고양시_Modal_split!M$3 * 0.01</f>
        <v>9.7681159519517931E-5</v>
      </c>
      <c r="BN146" s="207">
        <f>INDEX($A$145:$H$158,MATCH($L146,$B$145:$B$158,0),MATCH($BC$144,$A$145:$H$145,0))*고양시_Modal_split!N$3 * 0.01</f>
        <v>4.2470069356312155E-5</v>
      </c>
      <c r="BO146" s="207">
        <f>INDEX($A$145:$H$158,MATCH($L146,$B$145:$B$158,0),MATCH($BC$144,$A$145:$H$145,0))*고양시_Modal_split!O$3 * 0.01</f>
        <v>7.6446124841361864E-5</v>
      </c>
      <c r="BP146" s="207">
        <f>INDEX($A$145:$H$158,MATCH($L146,$B$145:$B$158,0),MATCH($BC$144,$A$145:$H$145,0))*고양시_Modal_split!P$3 * 0.01</f>
        <v>4.2470069356312139E-2</v>
      </c>
      <c r="BQ146" s="207">
        <f>INDEX($A$145:$H$158,MATCH($L146,$B$145:$B$158,0),MATCH($BQ$144,$A$145:$H$145,0))*고양시_Modal_split!C$3 * 0.01</f>
        <v>4.4923895585788104E-4</v>
      </c>
      <c r="BR146" s="207">
        <f>INDEX($A$145:$H$158,MATCH($L146,$B$145:$B$158,0),MATCH($BQ$144,$A$145:$H$145,0))*고양시_Modal_split!D$3 * 0.01</f>
        <v>7.5456100335700521E-2</v>
      </c>
      <c r="BS146" s="207">
        <f>INDEX($A$145:$H$158,MATCH($L146,$B$145:$B$158,0),MATCH($BQ$144,$A$145:$H$145,0))*고양시_Modal_split!E$3 * 0.01</f>
        <v>9.1291773529690833E-3</v>
      </c>
      <c r="BT146" s="207">
        <f>INDEX($A$145:$H$158,MATCH($L146,$B$145:$B$158,0),MATCH($BQ$144,$A$145:$H$145,0))*고양시_Modal_split!F$3 * 0.01</f>
        <v>1.4712575804345604E-2</v>
      </c>
      <c r="BU146" s="207">
        <f>INDEX($A$145:$H$158,MATCH($L146,$B$145:$B$158,0),MATCH($BQ$144,$A$145:$H$145,0))*고양시_Modal_split!G$3 * 0.01</f>
        <v>1.4760708549616092E-3</v>
      </c>
      <c r="BV146" s="207">
        <f>INDEX($A$145:$H$158,MATCH($L146,$B$145:$B$158,0),MATCH($BQ$144,$A$145:$H$145,0))*고양시_Modal_split!H$3 * 0.01</f>
        <v>1.6044248423495751E-5</v>
      </c>
      <c r="BW146" s="207">
        <f>INDEX($A$145:$H$158,MATCH($L146,$B$145:$B$158,0),MATCH($BQ$144,$A$145:$H$145,0))*고양시_Modal_split!I$3 * 0.01</f>
        <v>4.4603010617318192E-3</v>
      </c>
      <c r="BX146" s="207">
        <f>INDEX($A$145:$H$158,MATCH($L146,$B$145:$B$158,0),MATCH($BQ$144,$A$145:$H$145,0))*고양시_Modal_split!J$3 * 0.01</f>
        <v>4.8838692201121074E-2</v>
      </c>
      <c r="BY146" s="207">
        <f>INDEX($A$145:$H$158,MATCH($L146,$B$145:$B$158,0),MATCH($BQ$144,$A$145:$H$145,0))*고양시_Modal_split!K$3 * 0.01</f>
        <v>2.4066372635243627E-4</v>
      </c>
      <c r="BZ146" s="207">
        <f>INDEX($A$145:$H$158,MATCH($L146,$B$145:$B$158,0),MATCH($BQ$144,$A$145:$H$145,0))*고양시_Modal_split!L$3 * 0.01</f>
        <v>4.8453630238957171E-3</v>
      </c>
      <c r="CA146" s="207">
        <f>INDEX($A$145:$H$158,MATCH($L146,$B$145:$B$158,0),MATCH($BQ$144,$A$145:$H$145,0))*고양시_Modal_split!M$3 * 0.01</f>
        <v>3.6901771374040231E-4</v>
      </c>
      <c r="CB146" s="207">
        <f>INDEX($A$145:$H$158,MATCH($L146,$B$145:$B$158,0),MATCH($BQ$144,$A$145:$H$145,0))*고양시_Modal_split!N$3 * 0.01</f>
        <v>1.6044248423495753E-4</v>
      </c>
      <c r="CC146" s="207">
        <f>INDEX($A$145:$H$158,MATCH($L146,$B$145:$B$158,0),MATCH($BQ$144,$A$145:$H$145,0))*고양시_Modal_split!O$3 * 0.01</f>
        <v>2.8879647162292357E-4</v>
      </c>
      <c r="CD146" s="207">
        <f>INDEX($A$145:$H$158,MATCH($L146,$B$145:$B$158,0),MATCH($BQ$144,$A$145:$H$145,0))*고양시_Modal_split!P$3 * 0.01</f>
        <v>0.16044248423495752</v>
      </c>
      <c r="CE146" s="304">
        <f>M146+AA146+AO146+BC146+BQ146</f>
        <v>1.5775422322263495</v>
      </c>
      <c r="CF146" s="304">
        <f t="shared" ref="CF146:CF158" si="64">N146+AB146+AP146+BD146+BR146</f>
        <v>264.9707542200187</v>
      </c>
      <c r="CG146" s="304">
        <f t="shared" ref="CG146:CG158" si="65">O146+AC146+AQ146+BE146+BS146</f>
        <v>32.057911790599746</v>
      </c>
      <c r="CH146" s="304">
        <f t="shared" ref="CH146:CH158" si="66">P146+AD146+AR146+BF146+BT146</f>
        <v>51.664508105412949</v>
      </c>
      <c r="CI146" s="304">
        <f t="shared" ref="CI146:CI158" si="67">Q146+AE146+AS146+BG146+BU146</f>
        <v>5.1833530487437196</v>
      </c>
      <c r="CJ146" s="304">
        <f t="shared" ref="CJ146:CJ158" si="68">R146+AF146+AT146+BH146+BV146</f>
        <v>5.6340794008083922E-2</v>
      </c>
      <c r="CK146" s="304">
        <f t="shared" ref="CK146:CK158" si="69">S146+AG146+AU146+BI146+BW146</f>
        <v>15.662740734247329</v>
      </c>
      <c r="CL146" s="304">
        <f t="shared" ref="CL146:CL158" si="70">T146+AH146+AV146+BJ146+BX146</f>
        <v>171.50137696060744</v>
      </c>
      <c r="CM146" s="304">
        <f t="shared" ref="CM146:CM158" si="71">U146+AI146+AW146+BK146+BY146</f>
        <v>0.84511191012125875</v>
      </c>
      <c r="CN146" s="304">
        <f t="shared" ref="CN146:CN158" si="72">V146+AJ146+AX146+BL146+BZ146</f>
        <v>17.014919790441347</v>
      </c>
      <c r="CO146" s="304">
        <f t="shared" ref="CO146:CO158" si="73">W146+AK146+AY146+BM146+CA146</f>
        <v>1.2958382621859299</v>
      </c>
      <c r="CP146" s="304">
        <f t="shared" ref="CP146:CP158" si="74">X146+AL146+AZ146+BN146+CB146</f>
        <v>0.56340794008083939</v>
      </c>
      <c r="CQ146" s="304">
        <f t="shared" ref="CQ146:CQ158" si="75">Y146+AM146+BA146+BO146+CC146</f>
        <v>1.0141342921455105</v>
      </c>
      <c r="CR146" s="304">
        <f t="shared" ref="CR146:CR158" si="76">Z146+AN146+BB146+BP146+CD146</f>
        <v>563.40794008083924</v>
      </c>
      <c r="CS146" s="305">
        <f>H146-CR146</f>
        <v>0</v>
      </c>
      <c r="CV146" s="265"/>
      <c r="CW146" s="265" t="s">
        <v>12</v>
      </c>
      <c r="CX146" s="267">
        <f>INDEX($M$144:$Z$158,MATCH($CW146,$L$144:$L$158,0),MATCH(CX$145,$M$145:$Z$145,0))/INDEX(고양시_재차인원!$D$4:$H$35,MATCH("고양시",고양시_재차인원!$B$4:$B$35,0),MATCH($CX$144,고양시_재차인원!$D$4:$H$4,0))</f>
        <v>27.333021219292331</v>
      </c>
      <c r="CY146" s="267">
        <f>INDEX($M$144:$Z$158,MATCH($CW146,$L$144:$L$158,0),MATCH(CY$145,$M$145:$Z$145,0))/INDEX(고양시_재차인원!$K$4:$O$20,MATCH("경기도",고양시_재차인원!$K$4:$K$20,0),MATCH(CY$145,고양시_재차인원!$K$4:$O$4,0))</f>
        <v>2.2609398969587093E-4</v>
      </c>
      <c r="CZ146" s="267">
        <f>INDEX($M$144:$Z$158,MATCH($CW146,$L$144:$L$158,0),MATCH(CZ$145,$M$145:$Z$145,0))/INDEX(고양시_재차인원!$K$4:$O$20,MATCH("경기도",고양시_재차인원!$K$4:$K$20,0),MATCH(CZ$145,고양시_재차인원!$K$4:$O$4,0))</f>
        <v>6.2854129135452116E-2</v>
      </c>
      <c r="DA146" s="267">
        <f>INDEX($M$144:$Z$158,MATCH($CW146,$L$144:$L$158,0),MATCH(DA$145,$M$145:$Z$145,0))/INDEX(고양시_재차인원!$D$4:$H$35,MATCH("고양시",고양시_재차인원!$B$4:$B$35,0),MATCH($CX$144,고양시_재차인원!$D$4:$H$4,0))</f>
        <v>1.7551716794017189</v>
      </c>
      <c r="DB146" s="267">
        <f>INDEX($AA$144:$AN$158,MATCH($CW146,$L$144:$L$158,0),MATCH(DB$145,$AA$145:$AN$145,0))/INDEX(고양시_재차인원!$D$4:$H$35,MATCH("고양시",고양시_재차인원!$B$4:$B$35,0),MATCH($DB$144,고양시_재차인원!$D$4:$H$4,0))</f>
        <v>157.12938040285758</v>
      </c>
      <c r="DC146" s="267">
        <f>INDEX($AA$144:$AN$158,MATCH($CW146,$L$144:$L$158,0),MATCH(DC$145,$AA$145:$AN$145,0))/INDEX(고양시_재차인원!$K$4:$O$20,MATCH("경기도",고양시_재차인원!$K$4:$K$20,0),MATCH(DC$145,고양시_재차인원!$K$4:$O$4,0))</f>
        <v>1.6362884581222878E-3</v>
      </c>
      <c r="DD146" s="267">
        <f>INDEX($AA$144:$AN$158,MATCH($CW146,$L$144:$L$158,0),MATCH(DD$145,$AA$145:$AN$145,0))/INDEX(고양시_재차인원!$K$4:$O$20,MATCH("경기도",고양시_재차인원!$K$4:$K$20,0),MATCH(DD$145,고양시_재차인원!$K$4:$O$4,0))</f>
        <v>0.45488819135799596</v>
      </c>
      <c r="DE146" s="267">
        <f>INDEX($AA$144:$AN$158,MATCH($CW146,$L$144:$L$158,0),MATCH(DE$145,$AA$145:$AN$145,0))/INDEX(고양시_재차인원!$D$4:$H$35,MATCH("고양시",고양시_재차인원!$B$4:$B$35,0),MATCH($DB$144,고양시_재차인원!$D$4:$H$4,0))</f>
        <v>10.089958086681477</v>
      </c>
      <c r="DF146" s="267">
        <f>INDEX($AO$144:$BB$158,MATCH($CW146,$L$144:$L$158,0),MATCH(DF$145,$AO$145:$BB$145,0))/INDEX(고양시_재차인원!$D$4:$H$35,MATCH("고양시",고양시_재차인원!$B$4:$B$35,0),MATCH($DF$144,고양시_재차인원!$D$4:$H$4,0))</f>
        <v>9.7768571634062713</v>
      </c>
      <c r="DG146" s="267">
        <f>INDEX($AO$144:$BB$158,MATCH($CW146,$L$144:$L$158,0),MATCH(DG$145,$AO$145:$BB$145,0))/INDEX(고양시_재차인원!$K$4:$O$20,MATCH("경기도",고양시_재차인원!$K$4:$K$20,0),MATCH(DG$145,고양시_재차인원!$K$4:$O$4,0))</f>
        <v>9.3869818688433756E-5</v>
      </c>
      <c r="DH146" s="267">
        <f>INDEX($AO$144:$BB$158,MATCH($CW146,$L$144:$L$158,0),MATCH(DH$145,$AO$145:$BB$145,0))/INDEX(고양시_재차인원!$K$4:$O$20,MATCH("경기도",고양시_재차인원!$K$4:$K$20,0),MATCH(DH$145,고양시_재차인원!$K$4:$O$4,0))</f>
        <v>2.609580959538458E-2</v>
      </c>
      <c r="DI146" s="267">
        <f>INDEX($AO$144:$BB$158,MATCH($CW146,$L$144:$L$158,0),MATCH(DI$145,$AO$145:$BB$145,0))/INDEX(고양시_재차인원!$D$4:$H$35,MATCH("고양시",고양시_재차인원!$B$4:$B$35,0),MATCH($DF$144,고양시_재차인원!$D$4:$H$4,0))</f>
        <v>0.62781434474775544</v>
      </c>
      <c r="DJ146" s="267">
        <f>INDEX($BC$144:$BP$158,MATCH($CW146,$L$144:$L$158,0),MATCH(DJ$145,$BC$145:$BP$145,0))/INDEX(고양시_재차인원!$D$4:$H$35,MATCH("고양시",고양시_재차인원!$B$4:$B$35,0),MATCH($DJ$144,고양시_재차인원!$D$4:$H$4,0))</f>
        <v>1.4686524719318824E-2</v>
      </c>
      <c r="DK146" s="267">
        <f>INDEX($BC$144:$BP$158,MATCH($CW146,$L$144:$L$158,0),MATCH(DK$145,$BC$145:$BP$145,0))/INDEX(고양시_재차인원!$K$4:$O$20,MATCH("경기도",고양시_재차인원!$K$4:$K$20,0),MATCH(DK$145,고양시_재차인원!$K$4:$O$4,0))</f>
        <v>1.4751673968847567E-7</v>
      </c>
      <c r="DL146" s="267">
        <f>INDEX($BC$144:$BP$158,MATCH($CW146,$L$144:$L$158,0),MATCH(DL$145,$BC$145:$BP$145,0))/INDEX(고양시_재차인원!$K$4:$O$20,MATCH("경기도",고양시_재차인원!$K$4:$K$20,0),MATCH(DL$145,고양시_재차인원!$K$4:$O$4,0))</f>
        <v>4.1009653633396235E-5</v>
      </c>
      <c r="DM146" s="267">
        <f>INDEX($BC$144:$BP$158,MATCH($CW146,$L$144:$L$158,0),MATCH(DM$145,$BC$145:$BP$145,0))/INDEX(고양시_재차인원!$D$4:$H$35,MATCH("고양시",고양시_재차인원!$B$4:$B$35,0),MATCH($DJ$144,고양시_재차인원!$D$4:$H$4,0))</f>
        <v>9.4308536364751973E-4</v>
      </c>
      <c r="DN146" s="267">
        <f>INDEX($BQ$144:$CD$158,MATCH($CW146,$L$144:$L$158,0),MATCH(DN$145,$BQ$145:$CD$145,0))/INDEX(고양시_재차인원!$D$4:$H$35,MATCH("고양시",고양시_재차인원!$B$4:$B$35,0),MATCH($DN$144,고양시_재차인원!$D$4:$H$4,0))</f>
        <v>5.9885793917222638E-2</v>
      </c>
      <c r="DO146" s="267">
        <f>INDEX($BQ$144:$CD$158,MATCH($CW146,$L$144:$L$158,0),MATCH(DO$145,$BQ$145:$CD$145,0))/INDEX(고양시_재차인원!$K$4:$O$20,MATCH("경기도",고양시_재차인원!$K$4:$K$20,0),MATCH(DO$145,고양시_재차인원!$K$4:$O$4,0))</f>
        <v>5.5728546104535431E-7</v>
      </c>
      <c r="DP146" s="267">
        <f>INDEX($BQ$144:$CD$158,MATCH($CW146,$L$144:$L$158,0),MATCH(DP$145,$BQ$145:$CD$145,0))/INDEX(고양시_재차인원!$K$4:$O$20,MATCH("경기도",고양시_재차인원!$K$4:$K$20,0),MATCH(DP$145,고양시_재차인원!$K$4:$O$4,0))</f>
        <v>1.5492535817060853E-4</v>
      </c>
      <c r="DQ146" s="267">
        <f>INDEX($BQ$144:$CD$158,MATCH($CW146,$L$144:$L$158,0),MATCH(DQ$145,$BQ$145:$CD$145,0))/INDEX(고양시_재차인원!$D$4:$H$35,MATCH("고양시",고양시_재차인원!$B$4:$B$35,0),MATCH($DN$144,고양시_재차인원!$D$4:$H$4,0))</f>
        <v>3.8455262094410454E-3</v>
      </c>
      <c r="DR146" s="270">
        <f>CX146+DB146+DF146+DJ146+DN146</f>
        <v>194.31383110419273</v>
      </c>
      <c r="DS146" s="270">
        <f t="shared" ref="DS146:DS158" si="77">CY146+DC146+DG146+DK146+DO146</f>
        <v>1.9569570687073263E-3</v>
      </c>
      <c r="DT146" s="270">
        <f t="shared" ref="DT146:DT158" si="78">CZ146+DD146+DH146+DL146+DP146</f>
        <v>0.54403406510063668</v>
      </c>
      <c r="DU146" s="270">
        <f t="shared" ref="DU146:DU158" si="79">DA146+DE146+DI146+DM146+DQ146</f>
        <v>12.47773272240404</v>
      </c>
      <c r="DW146" s="278"/>
      <c r="DX146" s="278" t="s">
        <v>12</v>
      </c>
      <c r="DY146" s="281">
        <f>DR146+DU146</f>
        <v>206.79156382659676</v>
      </c>
      <c r="DZ146" s="281">
        <f>DS146+DT146</f>
        <v>0.54599102216934403</v>
      </c>
      <c r="EB146" s="278"/>
      <c r="EC146" s="278" t="s">
        <v>12</v>
      </c>
      <c r="ED146" s="281">
        <f>DY146</f>
        <v>206.79156382659676</v>
      </c>
      <c r="EE146" s="281">
        <f t="shared" ref="EE146:EE158" si="80">DZ146</f>
        <v>0.54599102216934403</v>
      </c>
      <c r="EL146" s="306" t="s">
        <v>12</v>
      </c>
      <c r="EM146" s="306" t="s">
        <v>567</v>
      </c>
      <c r="EN146" s="306">
        <v>8014.2473</v>
      </c>
      <c r="EO146" s="306">
        <v>0.11966025175817722</v>
      </c>
      <c r="EP146" s="307">
        <v>849101</v>
      </c>
      <c r="EQ146" s="308">
        <f>VLOOKUP($EL146,$EC$145:$EE$157,2,FALSE)*$EO146</f>
        <v>24.744730588957744</v>
      </c>
      <c r="ER146" s="308">
        <f>VLOOKUP($EL146,$EC$145:$EE$157,3,FALSE)*$EO146</f>
        <v>6.5333423170488222E-2</v>
      </c>
      <c r="ET146" s="420" t="s">
        <v>12</v>
      </c>
      <c r="EU146" s="420" t="s">
        <v>567</v>
      </c>
      <c r="EV146" s="420">
        <v>8014.2473</v>
      </c>
      <c r="EW146" s="420">
        <v>0.11966025175817722</v>
      </c>
      <c r="EX146" s="421">
        <v>849101</v>
      </c>
      <c r="EY146" s="422">
        <f>EQ146*$AV$11*(1-$AZ$7)</f>
        <v>24.03950576717245</v>
      </c>
      <c r="EZ146" s="422">
        <f t="shared" ref="EZ146:EZ179" si="81">ER146*$AV$11*(1-$AZ$7)</f>
        <v>6.3471420610129309E-2</v>
      </c>
      <c r="FA146">
        <v>0</v>
      </c>
      <c r="FD146" s="306" t="s">
        <v>12</v>
      </c>
      <c r="FE146" s="306" t="s">
        <v>567</v>
      </c>
      <c r="FF146" s="306">
        <v>8014.2473</v>
      </c>
      <c r="FG146" s="306">
        <v>0.11966025175817722</v>
      </c>
      <c r="FH146" s="307">
        <v>849101</v>
      </c>
      <c r="FI146" s="308">
        <f t="shared" ref="FI146:FI179" si="82">EY146*$FB$95</f>
        <v>24.03950576717245</v>
      </c>
      <c r="FJ146" s="308">
        <f t="shared" ref="FJ146:FJ179" si="83">EZ146*$FB$95</f>
        <v>6.3471420610129309E-2</v>
      </c>
      <c r="FL146" s="101"/>
      <c r="FM146" s="101"/>
      <c r="FN146" s="101"/>
      <c r="FO146" s="101"/>
      <c r="FP146" s="374"/>
      <c r="FQ146" s="404"/>
      <c r="FR146" s="404"/>
    </row>
    <row r="147" spans="1:174" ht="25">
      <c r="A147" s="205"/>
      <c r="B147" s="205" t="s">
        <v>667</v>
      </c>
      <c r="C147" s="400">
        <f>$AB62*KTDB_TripDistribution_2035!T$12 * (1+KTDB_발생량도착량_증가율!$C$7*2) * (1+KTDB_발생량도착량_증가율!$D$8*5)* (1+KTDB_발생량도착량_증가율!$E$8*5)</f>
        <v>1417.5623362010676</v>
      </c>
      <c r="D147" s="400">
        <f>$AB62*KTDB_TripDistribution_2035!U$12 * (1+KTDB_발생량도착량_증가율!$C$7*2) * (1+KTDB_발생량도착량_증가율!$D$8*5)* (1+KTDB_발생량도착량_증가율!$E$8*5)</f>
        <v>10259.188634402848</v>
      </c>
      <c r="E147" s="400">
        <f>$AB62*KTDB_TripDistribution_2035!V$12 * (1+KTDB_발생량도착량_증가율!$C$7*2) * (1+KTDB_발생량도착량_증가율!$D$8*5)* (1+KTDB_발생량도착량_증가율!$E$8*5)</f>
        <v>588.54425833141431</v>
      </c>
      <c r="F147" s="400">
        <f>$AB62*KTDB_TripDistribution_2035!W$12 * (1+KTDB_발생량도착량_증가율!$C$7*2) * (1+KTDB_발생량도착량_증가율!$D$8*5)* (1+KTDB_발생량도착량_증가율!$E$8*5)</f>
        <v>0.9248993059163102</v>
      </c>
      <c r="G147" s="400">
        <f>$AB62*KTDB_TripDistribution_2035!X$12 * (1+KTDB_발생량도착량_증가율!$C$7*2) * (1+KTDB_발생량도착량_증가율!$D$8*5)* (1+KTDB_발생량도착량_증가율!$E$8*5)</f>
        <v>3.4940640445727378</v>
      </c>
      <c r="H147" s="400">
        <f>$AB62*KTDB_TripDistribution_2035!Y$12 * (1+KTDB_발생량도착량_증가율!$C$7*2) * (1+KTDB_발생량도착량_증가율!$D$8*5)* (1+KTDB_발생량도착량_증가율!$E$8*5)</f>
        <v>12269.714192285817</v>
      </c>
      <c r="J147" s="230">
        <f t="shared" si="63"/>
        <v>12269.714192285819</v>
      </c>
      <c r="K147" s="206"/>
      <c r="L147" s="206" t="s">
        <v>667</v>
      </c>
      <c r="M147" s="206">
        <f>INDEX($A$145:$H$158,MATCH($L147,$B$145:$B$158,0),MATCH($M$144,$A$145:$H$145,0))*고양시_Modal_split!C$3 * 0.01</f>
        <v>3.9691745413629889</v>
      </c>
      <c r="N147" s="206">
        <f>INDEX($A$145:$H$158,MATCH($L147,$B$145:$B$158,0),MATCH($M$144,$A$145:$H$145,0))*고양시_Modal_split!D$3 * 0.01</f>
        <v>666.67956671536217</v>
      </c>
      <c r="O147" s="206">
        <f>INDEX($A$145:$H$158,MATCH($L147,$B$145:$B$158,0),MATCH($M$144,$A$145:$H$145,0))*고양시_Modal_split!E$3 * 0.01</f>
        <v>80.659296929840735</v>
      </c>
      <c r="P147" s="206">
        <f>INDEX($A$145:$H$158,MATCH($L147,$B$145:$B$158,0),MATCH($M$144,$A$145:$H$145,0))*고양시_Modal_split!F$3 * 0.01</f>
        <v>129.99046622963789</v>
      </c>
      <c r="Q147" s="206">
        <f>INDEX($A$145:$H$158,MATCH($L147,$B$145:$B$158,0),MATCH($M$144,$A$145:$H$145,0))*고양시_Modal_split!G$3 * 0.01</f>
        <v>13.041573493049821</v>
      </c>
      <c r="R147" s="206">
        <f>INDEX($A$145:$H$158,MATCH($L147,$B$145:$B$158,0),MATCH($M$144,$A$145:$H$145,0))*고양시_Modal_split!H$3 * 0.01</f>
        <v>0.14175623362010678</v>
      </c>
      <c r="S147" s="206">
        <f>INDEX($A$145:$H$158,MATCH($L147,$B$145:$B$158,0),MATCH($M$144,$A$145:$H$145,0))*고양시_Modal_split!I$3 * 0.01</f>
        <v>39.408232946389674</v>
      </c>
      <c r="T147" s="206">
        <f>INDEX($A$145:$H$158,MATCH($L147,$B$145:$B$158,0),MATCH($M$144,$A$145:$H$145,0))*고양시_Modal_split!J$3 * 0.01</f>
        <v>431.50597513960503</v>
      </c>
      <c r="U147" s="206">
        <f>INDEX($A$145:$H$158,MATCH($L147,$B$145:$B$158,0),MATCH($M$144,$A$145:$H$145,0))*고양시_Modal_split!K$3 * 0.01</f>
        <v>2.1263435043016012</v>
      </c>
      <c r="V147" s="206">
        <f>INDEX($A$145:$H$158,MATCH($L147,$B$145:$B$158,0),MATCH($M$144,$A$145:$H$145,0))*고양시_Modal_split!L$3 * 0.01</f>
        <v>42.810382553272241</v>
      </c>
      <c r="W147" s="206">
        <f>INDEX($A$145:$H$158,MATCH($L147,$B$145:$B$158,0),MATCH($M$144,$A$145:$H$145,0))*고양시_Modal_split!M$3 * 0.01</f>
        <v>3.2603933732624553</v>
      </c>
      <c r="X147" s="206">
        <f>INDEX($A$145:$H$158,MATCH($L147,$B$145:$B$158,0),MATCH($M$144,$A$145:$H$145,0))*고양시_Modal_split!N$3 * 0.01</f>
        <v>1.4175623362010676</v>
      </c>
      <c r="Y147" s="206">
        <f>INDEX($A$145:$H$158,MATCH($L147,$B$145:$B$158,0),MATCH($M$144,$A$145:$H$145,0))*고양시_Modal_split!O$3 * 0.01</f>
        <v>2.5516122051619217</v>
      </c>
      <c r="Z147" s="209">
        <f>INDEX($A$145:$H$158,MATCH($L147,$B$145:$B$158,0),MATCH($M$144,$A$145:$H$145,0))*고양시_Modal_split!P$3 * 0.01</f>
        <v>1417.5623362010676</v>
      </c>
      <c r="AA147" s="207">
        <f>INDEX($A$145:$H$158,MATCH($L147,$B$145:$B$158,0),MATCH($AA$144,$A$145:$H$145,0))*고양시_Modal_split!C$3 * 0.01</f>
        <v>28.725728176327973</v>
      </c>
      <c r="AB147" s="207">
        <f>INDEX($A$145:$H$158,MATCH($L147,$B$145:$B$158,0),MATCH($AA$144,$A$145:$H$145,0))*고양시_Modal_split!D$3 * 0.01</f>
        <v>4824.8964147596598</v>
      </c>
      <c r="AC147" s="207">
        <f>INDEX($A$145:$H$158,MATCH($L147,$B$145:$B$158,0),MATCH($AA$144,$A$145:$H$145,0))*고양시_Modal_split!E$3 * 0.01</f>
        <v>583.74783329752199</v>
      </c>
      <c r="AD147" s="207">
        <f>INDEX($A$145:$H$158,MATCH($L147,$B$145:$B$158,0),MATCH($AA$144,$A$145:$H$145,0))*고양시_Modal_split!F$3 * 0.01</f>
        <v>940.76759777474115</v>
      </c>
      <c r="AE147" s="207">
        <f>INDEX($A$145:$H$158,MATCH($L147,$B$145:$B$158,0),MATCH($AA$144,$A$145:$H$145,0))*고양시_Modal_split!G$3 * 0.01</f>
        <v>94.384535436506198</v>
      </c>
      <c r="AF147" s="207">
        <f>INDEX($A$145:$H$158,MATCH($L147,$B$145:$B$158,0),MATCH($AA$144,$A$145:$H$145,0))*고양시_Modal_split!H$3 * 0.01</f>
        <v>1.0259188634402849</v>
      </c>
      <c r="AG147" s="207">
        <f>INDEX($A$145:$H$158,MATCH($L147,$B$145:$B$158,0),MATCH($AA$144,$A$145:$H$145,0))*고양시_Modal_split!I$3 * 0.01</f>
        <v>285.20544403639917</v>
      </c>
      <c r="AH147" s="207">
        <f>INDEX($A$145:$H$158,MATCH($L147,$B$145:$B$158,0),MATCH($AA$144,$A$145:$H$145,0))*고양시_Modal_split!J$3 * 0.01</f>
        <v>3122.8970203122271</v>
      </c>
      <c r="AI147" s="207">
        <f>INDEX($A$145:$H$158,MATCH($L147,$B$145:$B$158,0),MATCH($AA$144,$A$145:$H$145,0))*고양시_Modal_split!K$3 * 0.01</f>
        <v>15.388782951604272</v>
      </c>
      <c r="AJ147" s="207">
        <f>INDEX($A$145:$H$158,MATCH($L147,$B$145:$B$158,0),MATCH($AA$144,$A$145:$H$145,0))*고양시_Modal_split!L$3 * 0.01</f>
        <v>309.82749675896599</v>
      </c>
      <c r="AK147" s="207">
        <f>INDEX($A$145:$H$158,MATCH($L147,$B$145:$B$158,0),MATCH($AA$144,$A$145:$H$145,0))*고양시_Modal_split!M$3 * 0.01</f>
        <v>23.596133859126549</v>
      </c>
      <c r="AL147" s="207">
        <f>INDEX($A$145:$H$158,MATCH($L147,$B$145:$B$158,0),MATCH($AA$144,$A$145:$H$145,0))*고양시_Modal_split!N$3 * 0.01</f>
        <v>10.259188634402848</v>
      </c>
      <c r="AM147" s="207">
        <f>INDEX($A$145:$H$158,MATCH($L147,$B$145:$B$158,0),MATCH($AA$144,$A$145:$H$145,0))*고양시_Modal_split!O$3 * 0.01</f>
        <v>18.466539541925126</v>
      </c>
      <c r="AN147" s="207">
        <f>INDEX($A$145:$H$158,MATCH($L147,$B$145:$B$158,0),MATCH($AA$144,$A$145:$H$145,0))*고양시_Modal_split!P$3 * 0.01</f>
        <v>10259.188634402848</v>
      </c>
      <c r="AO147" s="303">
        <f>INDEX($A$145:$H$158,MATCH($L147,$B$145:$B$158,0),MATCH($AO$144,$A$145:$H$145,0))*고양시_Modal_split!C$3 * 0.01</f>
        <v>1.6479239233279601</v>
      </c>
      <c r="AP147" s="303">
        <f>INDEX($A$145:$H$158,MATCH($L147,$B$145:$B$158,0),MATCH($AO$144,$A$145:$H$145,0))*고양시_Modal_split!D$3 * 0.01</f>
        <v>276.79236469326418</v>
      </c>
      <c r="AQ147" s="303">
        <f>INDEX($A$145:$H$158,MATCH($L147,$B$145:$B$158,0),MATCH($AO$144,$A$145:$H$145,0))*고양시_Modal_split!E$3 * 0.01</f>
        <v>33.48816829905747</v>
      </c>
      <c r="AR147" s="303">
        <f>INDEX($A$145:$H$158,MATCH($L147,$B$145:$B$158,0),MATCH($AO$144,$A$145:$H$145,0))*고양시_Modal_split!F$3 * 0.01</f>
        <v>53.969508488990698</v>
      </c>
      <c r="AS147" s="303">
        <f>INDEX($A$145:$H$158,MATCH($L147,$B$145:$B$158,0),MATCH($AO$144,$A$145:$H$145,0))*고양시_Modal_split!G$3 * 0.01</f>
        <v>5.414607176649012</v>
      </c>
      <c r="AT147" s="303">
        <f>INDEX($A$145:$H$158,MATCH($L147,$B$145:$B$158,0),MATCH($AO$144,$A$145:$H$145,0))*고양시_Modal_split!H$3 * 0.01</f>
        <v>5.8854425833141433E-2</v>
      </c>
      <c r="AU147" s="303">
        <f>INDEX($A$145:$H$158,MATCH($L147,$B$145:$B$158,0),MATCH($AO$144,$A$145:$H$145,0))*고양시_Modal_split!I$3 * 0.01</f>
        <v>16.361530381613317</v>
      </c>
      <c r="AV147" s="303">
        <f>INDEX($A$145:$H$158,MATCH($L147,$B$145:$B$158,0),MATCH($AO$144,$A$145:$H$145,0))*고양시_Modal_split!J$3 * 0.01</f>
        <v>179.15287223608252</v>
      </c>
      <c r="AW147" s="303">
        <f>INDEX($A$145:$H$158,MATCH($L147,$B$145:$B$158,0),MATCH($AO$144,$A$145:$H$145,0))*고양시_Modal_split!K$3 * 0.01</f>
        <v>0.88281638749712144</v>
      </c>
      <c r="AX147" s="303">
        <f>INDEX($A$145:$H$158,MATCH($L147,$B$145:$B$158,0),MATCH($AO$144,$A$145:$H$145,0))*고양시_Modal_split!L$3 * 0.01</f>
        <v>17.77403660160871</v>
      </c>
      <c r="AY147" s="303">
        <f>INDEX($A$145:$H$158,MATCH($L147,$B$145:$B$158,0),MATCH($AO$144,$A$145:$H$145,0))*고양시_Modal_split!M$3 * 0.01</f>
        <v>1.353651794162253</v>
      </c>
      <c r="AZ147" s="303">
        <f>INDEX($A$145:$H$158,MATCH($L147,$B$145:$B$158,0),MATCH($AO$144,$A$145:$H$145,0))*고양시_Modal_split!N$3 * 0.01</f>
        <v>0.58854425833141433</v>
      </c>
      <c r="BA147" s="207">
        <f>INDEX($A$145:$H$158,MATCH($L147,$B$145:$B$158,0),MATCH($AO$144,$A$145:$H$145,0))*고양시_Modal_split!O$3 * 0.01</f>
        <v>1.0593796649965459</v>
      </c>
      <c r="BB147" s="207">
        <f>INDEX($A$145:$H$158,MATCH($L147,$B$145:$B$158,0),MATCH($AO$144,$A$145:$H$145,0))*고양시_Modal_split!P$3 * 0.01</f>
        <v>588.54425833141431</v>
      </c>
      <c r="BC147" s="207">
        <f>INDEX($A$145:$H$158,MATCH($L147,$B$145:$B$158,0),MATCH($BC$144,$A$145:$H$145,0))*고양시_Modal_split!C$3 * 0.01</f>
        <v>2.5897180565656688E-3</v>
      </c>
      <c r="BD147" s="207">
        <f>INDEX($A$145:$H$158,MATCH($L147,$B$145:$B$158,0),MATCH($BC$144,$A$145:$H$145,0))*고양시_Modal_split!D$3 * 0.01</f>
        <v>0.43498014357244069</v>
      </c>
      <c r="BE147" s="207">
        <f>INDEX($A$145:$H$158,MATCH($L147,$B$145:$B$158,0),MATCH($BC$144,$A$145:$H$145,0))*고양시_Modal_split!E$3 * 0.01</f>
        <v>5.2626770506638047E-2</v>
      </c>
      <c r="BF147" s="207">
        <f>INDEX($A$145:$H$158,MATCH($L147,$B$145:$B$158,0),MATCH($BC$144,$A$145:$H$145,0))*고양시_Modal_split!F$3 * 0.01</f>
        <v>8.4813266352525646E-2</v>
      </c>
      <c r="BG147" s="207">
        <f>INDEX($A$145:$H$158,MATCH($L147,$B$145:$B$158,0),MATCH($BC$144,$A$145:$H$145,0))*고양시_Modal_split!G$3 * 0.01</f>
        <v>8.5090736144300527E-3</v>
      </c>
      <c r="BH147" s="207">
        <f>INDEX($A$145:$H$158,MATCH($L147,$B$145:$B$158,0),MATCH($BC$144,$A$145:$H$145,0))*고양시_Modal_split!H$3 * 0.01</f>
        <v>9.2489930591631018E-5</v>
      </c>
      <c r="BI147" s="207">
        <f>INDEX($A$145:$H$158,MATCH($L147,$B$145:$B$158,0),MATCH($BC$144,$A$145:$H$145,0))*고양시_Modal_split!I$3 * 0.01</f>
        <v>2.5712200704473422E-2</v>
      </c>
      <c r="BJ147" s="207">
        <f>INDEX($A$145:$H$158,MATCH($L147,$B$145:$B$158,0),MATCH($BC$144,$A$145:$H$145,0))*고양시_Modal_split!J$3 * 0.01</f>
        <v>0.28153934872092484</v>
      </c>
      <c r="BK147" s="207">
        <f>INDEX($A$145:$H$158,MATCH($L147,$B$145:$B$158,0),MATCH($BC$144,$A$145:$H$145,0))*고양시_Modal_split!K$3 * 0.01</f>
        <v>1.3873489588744653E-3</v>
      </c>
      <c r="BL147" s="207">
        <f>INDEX($A$145:$H$158,MATCH($L147,$B$145:$B$158,0),MATCH($BC$144,$A$145:$H$145,0))*고양시_Modal_split!L$3 * 0.01</f>
        <v>2.7931959038672571E-2</v>
      </c>
      <c r="BM147" s="207">
        <f>INDEX($A$145:$H$158,MATCH($L147,$B$145:$B$158,0),MATCH($BC$144,$A$145:$H$145,0))*고양시_Modal_split!M$3 * 0.01</f>
        <v>2.1272684036075132E-3</v>
      </c>
      <c r="BN147" s="207">
        <f>INDEX($A$145:$H$158,MATCH($L147,$B$145:$B$158,0),MATCH($BC$144,$A$145:$H$145,0))*고양시_Modal_split!N$3 * 0.01</f>
        <v>9.2489930591631026E-4</v>
      </c>
      <c r="BO147" s="207">
        <f>INDEX($A$145:$H$158,MATCH($L147,$B$145:$B$158,0),MATCH($BC$144,$A$145:$H$145,0))*고양시_Modal_split!O$3 * 0.01</f>
        <v>1.6648187506493584E-3</v>
      </c>
      <c r="BP147" s="207">
        <f>INDEX($A$145:$H$158,MATCH($L147,$B$145:$B$158,0),MATCH($BC$144,$A$145:$H$145,0))*고양시_Modal_split!P$3 * 0.01</f>
        <v>0.9248993059163102</v>
      </c>
      <c r="BQ147" s="207">
        <f>INDEX($A$145:$H$158,MATCH($L147,$B$145:$B$158,0),MATCH($BQ$144,$A$145:$H$145,0))*고양시_Modal_split!C$3 * 0.01</f>
        <v>9.7833793248036649E-3</v>
      </c>
      <c r="BR147" s="207">
        <f>INDEX($A$145:$H$158,MATCH($L147,$B$145:$B$158,0),MATCH($BQ$144,$A$145:$H$145,0))*고양시_Modal_split!D$3 * 0.01</f>
        <v>1.6432583201625588</v>
      </c>
      <c r="BS147" s="207">
        <f>INDEX($A$145:$H$158,MATCH($L147,$B$145:$B$158,0),MATCH($BQ$144,$A$145:$H$145,0))*고양시_Modal_split!E$3 * 0.01</f>
        <v>0.19881224413618878</v>
      </c>
      <c r="BT147" s="207">
        <f>INDEX($A$145:$H$158,MATCH($L147,$B$145:$B$158,0),MATCH($BQ$144,$A$145:$H$145,0))*고양시_Modal_split!F$3 * 0.01</f>
        <v>0.32040567288732008</v>
      </c>
      <c r="BU147" s="207">
        <f>INDEX($A$145:$H$158,MATCH($L147,$B$145:$B$158,0),MATCH($BQ$144,$A$145:$H$145,0))*고양시_Modal_split!G$3 * 0.01</f>
        <v>3.2145389210069188E-2</v>
      </c>
      <c r="BV147" s="207">
        <f>INDEX($A$145:$H$158,MATCH($L147,$B$145:$B$158,0),MATCH($BQ$144,$A$145:$H$145,0))*고양시_Modal_split!H$3 * 0.01</f>
        <v>3.4940640445727379E-4</v>
      </c>
      <c r="BW147" s="207">
        <f>INDEX($A$145:$H$158,MATCH($L147,$B$145:$B$158,0),MATCH($BQ$144,$A$145:$H$145,0))*고양시_Modal_split!I$3 * 0.01</f>
        <v>9.7134980439122109E-2</v>
      </c>
      <c r="BX147" s="207">
        <f>INDEX($A$145:$H$158,MATCH($L147,$B$145:$B$158,0),MATCH($BQ$144,$A$145:$H$145,0))*고양시_Modal_split!J$3 * 0.01</f>
        <v>1.0635930951679415</v>
      </c>
      <c r="BY147" s="207">
        <f>INDEX($A$145:$H$158,MATCH($L147,$B$145:$B$158,0),MATCH($BQ$144,$A$145:$H$145,0))*고양시_Modal_split!K$3 * 0.01</f>
        <v>5.2410960668591066E-3</v>
      </c>
      <c r="BZ147" s="207">
        <f>INDEX($A$145:$H$158,MATCH($L147,$B$145:$B$158,0),MATCH($BQ$144,$A$145:$H$145,0))*고양시_Modal_split!L$3 * 0.01</f>
        <v>0.10552073414609668</v>
      </c>
      <c r="CA147" s="207">
        <f>INDEX($A$145:$H$158,MATCH($L147,$B$145:$B$158,0),MATCH($BQ$144,$A$145:$H$145,0))*고양시_Modal_split!M$3 * 0.01</f>
        <v>8.0363473025172969E-3</v>
      </c>
      <c r="CB147" s="207">
        <f>INDEX($A$145:$H$158,MATCH($L147,$B$145:$B$158,0),MATCH($BQ$144,$A$145:$H$145,0))*고양시_Modal_split!N$3 * 0.01</f>
        <v>3.4940640445727377E-3</v>
      </c>
      <c r="CC147" s="207">
        <f>INDEX($A$145:$H$158,MATCH($L147,$B$145:$B$158,0),MATCH($BQ$144,$A$145:$H$145,0))*고양시_Modal_split!O$3 * 0.01</f>
        <v>6.2893152802309281E-3</v>
      </c>
      <c r="CD147" s="207">
        <f>INDEX($A$145:$H$158,MATCH($L147,$B$145:$B$158,0),MATCH($BQ$144,$A$145:$H$145,0))*고양시_Modal_split!P$3 * 0.01</f>
        <v>3.4940640445727378</v>
      </c>
      <c r="CE147" s="304">
        <f t="shared" ref="CE147:CE158" si="84">M147+AA147+AO147+BC147+BQ147</f>
        <v>34.355199738400287</v>
      </c>
      <c r="CF147" s="304">
        <f t="shared" si="64"/>
        <v>5770.4465846320209</v>
      </c>
      <c r="CG147" s="304">
        <f t="shared" si="65"/>
        <v>698.14673754106309</v>
      </c>
      <c r="CH147" s="304">
        <f t="shared" si="66"/>
        <v>1125.1327914326096</v>
      </c>
      <c r="CI147" s="304">
        <f t="shared" si="67"/>
        <v>112.88137056902954</v>
      </c>
      <c r="CJ147" s="304">
        <f t="shared" si="68"/>
        <v>1.2269714192285821</v>
      </c>
      <c r="CK147" s="304">
        <f t="shared" si="69"/>
        <v>341.09805454554572</v>
      </c>
      <c r="CL147" s="304">
        <f t="shared" si="70"/>
        <v>3734.9010001318038</v>
      </c>
      <c r="CM147" s="304">
        <f t="shared" si="71"/>
        <v>18.404571288428727</v>
      </c>
      <c r="CN147" s="304">
        <f t="shared" si="72"/>
        <v>370.54536860703166</v>
      </c>
      <c r="CO147" s="304">
        <f t="shared" si="73"/>
        <v>28.220342642257386</v>
      </c>
      <c r="CP147" s="304">
        <f t="shared" si="74"/>
        <v>12.269714192285818</v>
      </c>
      <c r="CQ147" s="304">
        <f t="shared" si="75"/>
        <v>22.085485546114469</v>
      </c>
      <c r="CR147" s="304">
        <f t="shared" si="76"/>
        <v>12269.714192285819</v>
      </c>
      <c r="CS147" s="305">
        <f t="shared" ref="CS147:CS158" si="85">H147-CR147</f>
        <v>0</v>
      </c>
      <c r="CV147" s="265"/>
      <c r="CW147" s="265" t="s">
        <v>667</v>
      </c>
      <c r="CX147" s="267">
        <f>INDEX($M$144:$Z$158,MATCH($CW147,$L$144:$L$158,0),MATCH(CX$145,$M$145:$Z$145,0))/INDEX(고양시_재차인원!$D$4:$H$35,MATCH("고양시",고양시_재차인원!$B$4:$B$35,0),MATCH($CX$144,고양시_재차인원!$D$4:$H$4,0))</f>
        <v>595.2496131387162</v>
      </c>
      <c r="CY147" s="267">
        <f>INDEX($M$144:$Z$158,MATCH($CW147,$L$144:$L$158,0),MATCH(CY$145,$M$145:$Z$145,0))/INDEX(고양시_재차인원!$K$4:$O$20,MATCH("경기도",고양시_재차인원!$K$4:$K$20,0),MATCH(CY$145,고양시_재차인원!$K$4:$O$4,0))</f>
        <v>4.923801098301729E-3</v>
      </c>
      <c r="CZ147" s="267">
        <f>INDEX($M$144:$Z$158,MATCH($CW147,$L$144:$L$158,0),MATCH(CZ$145,$M$145:$Z$145,0))/INDEX(고양시_재차인원!$K$4:$O$20,MATCH("경기도",고양시_재차인원!$K$4:$K$20,0),MATCH(CZ$145,고양시_재차인원!$K$4:$O$4,0))</f>
        <v>1.3688167053278804</v>
      </c>
      <c r="DA147" s="267">
        <f>INDEX($M$144:$Z$158,MATCH($CW147,$L$144:$L$158,0),MATCH(DA$145,$M$145:$Z$145,0))/INDEX(고양시_재차인원!$D$4:$H$35,MATCH("고양시",고양시_재차인원!$B$4:$B$35,0),MATCH($CX$144,고양시_재차인원!$D$4:$H$4,0))</f>
        <v>38.223555851135927</v>
      </c>
      <c r="DB147" s="267">
        <f>INDEX($AA$144:$AN$158,MATCH($CW147,$L$144:$L$158,0),MATCH(DB$145,$AA$145:$AN$145,0))/INDEX(고양시_재차인원!$D$4:$H$35,MATCH("고양시",고양시_재차인원!$B$4:$B$35,0),MATCH($DB$144,고양시_재차인원!$D$4:$H$4,0))</f>
        <v>3421.9123508933758</v>
      </c>
      <c r="DC147" s="267">
        <f>INDEX($AA$144:$AN$158,MATCH($CW147,$L$144:$L$158,0),MATCH(DC$145,$AA$145:$AN$145,0))/INDEX(고양시_재차인원!$K$4:$O$20,MATCH("경기도",고양시_재차인원!$K$4:$K$20,0),MATCH(DC$145,고양시_재차인원!$K$4:$O$4,0))</f>
        <v>3.5634555868019627E-2</v>
      </c>
      <c r="DD147" s="267">
        <f>INDEX($AA$144:$AN$158,MATCH($CW147,$L$144:$L$158,0),MATCH(DD$145,$AA$145:$AN$145,0))/INDEX(고양시_재차인원!$K$4:$O$20,MATCH("경기도",고양시_재차인원!$K$4:$K$20,0),MATCH(DD$145,고양시_재차인원!$K$4:$O$4,0))</f>
        <v>9.9064065313094538</v>
      </c>
      <c r="DE147" s="267">
        <f>INDEX($AA$144:$AN$158,MATCH($CW147,$L$144:$L$158,0),MATCH(DE$145,$AA$145:$AN$145,0))/INDEX(고양시_재차인원!$D$4:$H$35,MATCH("고양시",고양시_재차인원!$B$4:$B$35,0),MATCH($DB$144,고양시_재차인원!$D$4:$H$4,0))</f>
        <v>219.73581330423121</v>
      </c>
      <c r="DF147" s="267">
        <f>INDEX($AO$144:$BB$158,MATCH($CW147,$L$144:$L$158,0),MATCH(DF$145,$AO$145:$BB$145,0))/INDEX(고양시_재차인원!$D$4:$H$35,MATCH("고양시",고양시_재차인원!$B$4:$B$35,0),MATCH($DF$144,고양시_재차인원!$D$4:$H$4,0))</f>
        <v>212.91720361020322</v>
      </c>
      <c r="DG147" s="267">
        <f>INDEX($AO$144:$BB$158,MATCH($CW147,$L$144:$L$158,0),MATCH(DG$145,$AO$145:$BB$145,0))/INDEX(고양시_재차인원!$K$4:$O$20,MATCH("경기도",고양시_재차인원!$K$4:$K$20,0),MATCH(DG$145,고양시_재차인원!$K$4:$O$4,0))</f>
        <v>2.0442662672157498E-3</v>
      </c>
      <c r="DH147" s="267">
        <f>INDEX($AO$144:$BB$158,MATCH($CW147,$L$144:$L$158,0),MATCH(DH$145,$AO$145:$BB$145,0))/INDEX(고양시_재차인원!$K$4:$O$20,MATCH("경기도",고양시_재차인원!$K$4:$K$20,0),MATCH(DH$145,고양시_재차인원!$K$4:$O$4,0))</f>
        <v>0.56830602228597837</v>
      </c>
      <c r="DI147" s="267">
        <f>INDEX($AO$144:$BB$158,MATCH($CW147,$L$144:$L$158,0),MATCH(DI$145,$AO$145:$BB$145,0))/INDEX(고양시_재차인원!$D$4:$H$35,MATCH("고양시",고양시_재차인원!$B$4:$B$35,0),MATCH($DF$144,고양시_재차인원!$D$4:$H$4,0))</f>
        <v>13.672335847391315</v>
      </c>
      <c r="DJ147" s="267">
        <f>INDEX($BC$144:$BP$158,MATCH($CW147,$L$144:$L$158,0),MATCH(DJ$145,$BC$145:$BP$145,0))/INDEX(고양시_재차인원!$D$4:$H$35,MATCH("고양시",고양시_재차인원!$B$4:$B$35,0),MATCH($DJ$144,고양시_재차인원!$D$4:$H$4,0))</f>
        <v>0.31983834086208873</v>
      </c>
      <c r="DK147" s="267">
        <f>INDEX($BC$144:$BP$158,MATCH($CW147,$L$144:$L$158,0),MATCH(DK$145,$BC$145:$BP$145,0))/INDEX(고양시_재차인원!$K$4:$O$20,MATCH("경기도",고양시_재차인원!$K$4:$K$20,0),MATCH(DK$145,고양시_재차인원!$K$4:$O$4,0))</f>
        <v>3.212571399500904E-6</v>
      </c>
      <c r="DL147" s="267">
        <f>INDEX($BC$144:$BP$158,MATCH($CW147,$L$144:$L$158,0),MATCH(DL$145,$BC$145:$BP$145,0))/INDEX(고양시_재차인원!$K$4:$O$20,MATCH("경기도",고양시_재차인원!$K$4:$K$20,0),MATCH(DL$145,고양시_재차인원!$K$4:$O$4,0))</f>
        <v>8.930948490612512E-4</v>
      </c>
      <c r="DM147" s="267">
        <f>INDEX($BC$144:$BP$158,MATCH($CW147,$L$144:$L$158,0),MATCH(DM$145,$BC$145:$BP$145,0))/INDEX(고양시_재차인원!$D$4:$H$35,MATCH("고양시",고양시_재차인원!$B$4:$B$35,0),MATCH($DJ$144,고양시_재차인원!$D$4:$H$4,0))</f>
        <v>2.0538205175494536E-2</v>
      </c>
      <c r="DN147" s="267">
        <f>INDEX($BQ$144:$CD$158,MATCH($CW147,$L$144:$L$158,0),MATCH(DN$145,$BQ$145:$CD$145,0))/INDEX(고양시_재차인원!$D$4:$H$35,MATCH("고양시",고양시_재차인원!$B$4:$B$35,0),MATCH($DN$144,고양시_재차인원!$D$4:$H$4,0))</f>
        <v>1.3041732699702848</v>
      </c>
      <c r="DO147" s="267">
        <f>INDEX($BQ$144:$CD$158,MATCH($CW147,$L$144:$L$158,0),MATCH(DO$145,$BQ$145:$CD$145,0))/INDEX(고양시_재차인원!$K$4:$O$20,MATCH("경기도",고양시_재차인원!$K$4:$K$20,0),MATCH(DO$145,고양시_재차인원!$K$4:$O$4,0))</f>
        <v>1.2136380842559007E-5</v>
      </c>
      <c r="DP147" s="267">
        <f>INDEX($BQ$144:$CD$158,MATCH($CW147,$L$144:$L$158,0),MATCH(DP$145,$BQ$145:$CD$145,0))/INDEX(고양시_재차인원!$K$4:$O$20,MATCH("경기도",고양시_재차인원!$K$4:$K$20,0),MATCH(DP$145,고양시_재차인원!$K$4:$O$4,0))</f>
        <v>3.3739138742314035E-3</v>
      </c>
      <c r="DQ147" s="267">
        <f>INDEX($BQ$144:$CD$158,MATCH($CW147,$L$144:$L$158,0),MATCH(DQ$145,$BQ$145:$CD$145,0))/INDEX(고양시_재차인원!$D$4:$H$35,MATCH("고양시",고양시_재차인원!$B$4:$B$35,0),MATCH($DN$144,고양시_재차인원!$D$4:$H$4,0))</f>
        <v>8.3746614401664032E-2</v>
      </c>
      <c r="DR147" s="270">
        <f t="shared" ref="DR147:DR158" si="86">CX147+DB147+DF147+DJ147+DN147</f>
        <v>4231.703179253127</v>
      </c>
      <c r="DS147" s="270">
        <f t="shared" si="77"/>
        <v>4.2617972185779167E-2</v>
      </c>
      <c r="DT147" s="270">
        <f t="shared" si="78"/>
        <v>11.847796267646606</v>
      </c>
      <c r="DU147" s="270">
        <f t="shared" si="79"/>
        <v>271.73598982233563</v>
      </c>
      <c r="DW147" s="278"/>
      <c r="DX147" s="278" t="s">
        <v>667</v>
      </c>
      <c r="DY147" s="281">
        <f t="shared" ref="DY147:DY158" si="87">DR147+DU147</f>
        <v>4503.4391690754628</v>
      </c>
      <c r="DZ147" s="281">
        <f t="shared" ref="DZ147:DZ158" si="88">DS147+DT147</f>
        <v>11.890414239832385</v>
      </c>
      <c r="EB147" s="278"/>
      <c r="EC147" s="278" t="s">
        <v>667</v>
      </c>
      <c r="ED147" s="281">
        <f t="shared" ref="ED147:ED158" si="89">DY147</f>
        <v>4503.4391690754628</v>
      </c>
      <c r="EE147" s="281">
        <f t="shared" si="80"/>
        <v>11.890414239832385</v>
      </c>
      <c r="EL147" s="306" t="s">
        <v>12</v>
      </c>
      <c r="EM147" s="306" t="s">
        <v>610</v>
      </c>
      <c r="EN147" s="306">
        <v>5231.5074000000004</v>
      </c>
      <c r="EO147" s="306">
        <v>7.8111327130966773E-2</v>
      </c>
      <c r="EP147" s="307">
        <v>849102</v>
      </c>
      <c r="EQ147" s="308">
        <f t="shared" ref="EQ147:EQ157" si="90">VLOOKUP($EL147,$EC$145:$EE$157,2,FALSE)*$EO147</f>
        <v>16.152763489983496</v>
      </c>
      <c r="ER147" s="308">
        <f t="shared" ref="ER147:ER157" si="91">VLOOKUP($EL147,$EC$145:$EE$157,3,FALSE)*$EO147</f>
        <v>4.2648083343240564E-2</v>
      </c>
      <c r="ET147" s="420" t="s">
        <v>12</v>
      </c>
      <c r="EU147" s="420" t="s">
        <v>610</v>
      </c>
      <c r="EV147" s="420">
        <v>5231.5074000000004</v>
      </c>
      <c r="EW147" s="420">
        <v>7.8111327130966773E-2</v>
      </c>
      <c r="EX147" s="421">
        <v>849102</v>
      </c>
      <c r="EY147" s="422">
        <f t="shared" ref="EY147:EY179" si="92">EQ147*$AV$11*(1-$AZ$7)</f>
        <v>15.692409730518966</v>
      </c>
      <c r="EZ147" s="422">
        <f t="shared" si="81"/>
        <v>4.1432612967958207E-2</v>
      </c>
      <c r="FA147">
        <v>0</v>
      </c>
      <c r="FD147" s="306" t="s">
        <v>12</v>
      </c>
      <c r="FE147" s="306" t="s">
        <v>610</v>
      </c>
      <c r="FF147" s="306">
        <v>5231.5074000000004</v>
      </c>
      <c r="FG147" s="306">
        <v>7.8111327130966773E-2</v>
      </c>
      <c r="FH147" s="307">
        <v>849102</v>
      </c>
      <c r="FI147" s="308">
        <f t="shared" si="82"/>
        <v>15.692409730518966</v>
      </c>
      <c r="FJ147" s="308">
        <f t="shared" si="83"/>
        <v>4.1432612967958207E-2</v>
      </c>
      <c r="FL147" s="101"/>
      <c r="FM147" s="101"/>
      <c r="FN147" s="101"/>
      <c r="FO147" s="101"/>
      <c r="FP147" s="374"/>
      <c r="FQ147" s="404"/>
      <c r="FR147" s="404"/>
    </row>
    <row r="148" spans="1:174" ht="25">
      <c r="A148" s="205"/>
      <c r="B148" s="205" t="s">
        <v>669</v>
      </c>
      <c r="C148" s="400">
        <f>$AB63*KTDB_TripDistribution_2035!T$12 * (1+KTDB_발생량도착량_증가율!$C$7*2) * (1+KTDB_발생량도착량_증가율!$D$8*5)* (1+KTDB_발생량도착량_증가율!$E$8*5)</f>
        <v>1065.5379180145867</v>
      </c>
      <c r="D148" s="400">
        <f>$AB63*KTDB_TripDistribution_2035!U$12 * (1+KTDB_발생량도착량_증가율!$C$7*2) * (1+KTDB_발생량도착량_증가율!$D$8*5)* (1+KTDB_발생량도착량_증가율!$E$8*5)</f>
        <v>7711.5159022325952</v>
      </c>
      <c r="E148" s="400">
        <f>$AB63*KTDB_TripDistribution_2035!V$12 * (1+KTDB_발생량도착량_증가율!$C$7*2) * (1+KTDB_발생량도착량_증가율!$D$8*5)* (1+KTDB_발생량도착량_증가율!$E$8*5)</f>
        <v>442.39057970636139</v>
      </c>
      <c r="F148" s="400">
        <f>$AB63*KTDB_TripDistribution_2035!W$12 * (1+KTDB_발생량도착량_증가율!$C$7*2) * (1+KTDB_발생량도착량_증가율!$D$8*5)* (1+KTDB_발생량도착량_증가율!$E$8*5)</f>
        <v>0.69521830231486581</v>
      </c>
      <c r="G148" s="400">
        <f>$AB63*KTDB_TripDistribution_2035!X$12 * (1+KTDB_발생량도착량_증가율!$C$7*2) * (1+KTDB_발생량도착량_증가율!$D$8*5)* (1+KTDB_발생량도착량_증가율!$E$8*5)</f>
        <v>2.6263802531895011</v>
      </c>
      <c r="H148" s="400">
        <f>$AB63*KTDB_TripDistribution_2035!Y$12 * (1+KTDB_발생량도착량_증가율!$C$7*2) * (1+KTDB_발생량도착량_증가율!$D$8*5)* (1+KTDB_발생량도착량_증가율!$E$8*5)</f>
        <v>9222.7659985090486</v>
      </c>
      <c r="J148" s="230">
        <f t="shared" si="63"/>
        <v>9222.7659985090486</v>
      </c>
      <c r="K148" s="206"/>
      <c r="L148" s="206" t="s">
        <v>669</v>
      </c>
      <c r="M148" s="206">
        <f>INDEX($A$145:$H$158,MATCH($L148,$B$145:$B$158,0),MATCH($M$144,$A$145:$H$145,0))*고양시_Modal_split!C$3 * 0.01</f>
        <v>2.9835061704408425</v>
      </c>
      <c r="N148" s="206">
        <f>INDEX($A$145:$H$158,MATCH($L148,$B$145:$B$158,0),MATCH($M$144,$A$145:$H$145,0))*고양시_Modal_split!D$3 * 0.01</f>
        <v>501.12248284226013</v>
      </c>
      <c r="O148" s="206">
        <f>INDEX($A$145:$H$158,MATCH($L148,$B$145:$B$158,0),MATCH($M$144,$A$145:$H$145,0))*고양시_Modal_split!E$3 * 0.01</f>
        <v>60.629107535029981</v>
      </c>
      <c r="P148" s="206">
        <f>INDEX($A$145:$H$158,MATCH($L148,$B$145:$B$158,0),MATCH($M$144,$A$145:$H$145,0))*고양시_Modal_split!F$3 * 0.01</f>
        <v>97.709827081937604</v>
      </c>
      <c r="Q148" s="206">
        <f>INDEX($A$145:$H$158,MATCH($L148,$B$145:$B$158,0),MATCH($M$144,$A$145:$H$145,0))*고양시_Modal_split!G$3 * 0.01</f>
        <v>9.802948845734198</v>
      </c>
      <c r="R148" s="206">
        <f>INDEX($A$145:$H$158,MATCH($L148,$B$145:$B$158,0),MATCH($M$144,$A$145:$H$145,0))*고양시_Modal_split!H$3 * 0.01</f>
        <v>0.10655379180145869</v>
      </c>
      <c r="S148" s="206">
        <f>INDEX($A$145:$H$158,MATCH($L148,$B$145:$B$158,0),MATCH($M$144,$A$145:$H$145,0))*고양시_Modal_split!I$3 * 0.01</f>
        <v>29.621954120805508</v>
      </c>
      <c r="T148" s="206">
        <f>INDEX($A$145:$H$158,MATCH($L148,$B$145:$B$158,0),MATCH($M$144,$A$145:$H$145,0))*고양시_Modal_split!J$3 * 0.01</f>
        <v>324.34974224364021</v>
      </c>
      <c r="U148" s="206">
        <f>INDEX($A$145:$H$158,MATCH($L148,$B$145:$B$158,0),MATCH($M$144,$A$145:$H$145,0))*고양시_Modal_split!K$3 * 0.01</f>
        <v>1.59830687702188</v>
      </c>
      <c r="V148" s="206">
        <f>INDEX($A$145:$H$158,MATCH($L148,$B$145:$B$158,0),MATCH($M$144,$A$145:$H$145,0))*고양시_Modal_split!L$3 * 0.01</f>
        <v>32.17924512404052</v>
      </c>
      <c r="W148" s="206">
        <f>INDEX($A$145:$H$158,MATCH($L148,$B$145:$B$158,0),MATCH($M$144,$A$145:$H$145,0))*고양시_Modal_split!M$3 * 0.01</f>
        <v>2.4507372114335495</v>
      </c>
      <c r="X148" s="206">
        <f>INDEX($A$145:$H$158,MATCH($L148,$B$145:$B$158,0),MATCH($M$144,$A$145:$H$145,0))*고양시_Modal_split!N$3 * 0.01</f>
        <v>1.0655379180145867</v>
      </c>
      <c r="Y148" s="206">
        <f>INDEX($A$145:$H$158,MATCH($L148,$B$145:$B$158,0),MATCH($M$144,$A$145:$H$145,0))*고양시_Modal_split!O$3 * 0.01</f>
        <v>1.917968252426256</v>
      </c>
      <c r="Z148" s="209">
        <f>INDEX($A$145:$H$158,MATCH($L148,$B$145:$B$158,0),MATCH($M$144,$A$145:$H$145,0))*고양시_Modal_split!P$3 * 0.01</f>
        <v>1065.5379180145867</v>
      </c>
      <c r="AA148" s="207">
        <f>INDEX($A$145:$H$158,MATCH($L148,$B$145:$B$158,0),MATCH($AA$144,$A$145:$H$145,0))*고양시_Modal_split!C$3 * 0.01</f>
        <v>21.592244526251267</v>
      </c>
      <c r="AB148" s="207">
        <f>INDEX($A$145:$H$158,MATCH($L148,$B$145:$B$158,0),MATCH($AA$144,$A$145:$H$145,0))*고양시_Modal_split!D$3 * 0.01</f>
        <v>3626.7259288199898</v>
      </c>
      <c r="AC148" s="207">
        <f>INDEX($A$145:$H$158,MATCH($L148,$B$145:$B$158,0),MATCH($AA$144,$A$145:$H$145,0))*고양시_Modal_split!E$3 * 0.01</f>
        <v>438.7852548370347</v>
      </c>
      <c r="AD148" s="207">
        <f>INDEX($A$145:$H$158,MATCH($L148,$B$145:$B$158,0),MATCH($AA$144,$A$145:$H$145,0))*고양시_Modal_split!F$3 * 0.01</f>
        <v>707.14600823472892</v>
      </c>
      <c r="AE148" s="207">
        <f>INDEX($A$145:$H$158,MATCH($L148,$B$145:$B$158,0),MATCH($AA$144,$A$145:$H$145,0))*고양시_Modal_split!G$3 * 0.01</f>
        <v>70.945946300539873</v>
      </c>
      <c r="AF148" s="207">
        <f>INDEX($A$145:$H$158,MATCH($L148,$B$145:$B$158,0),MATCH($AA$144,$A$145:$H$145,0))*고양시_Modal_split!H$3 * 0.01</f>
        <v>0.77115159022325952</v>
      </c>
      <c r="AG148" s="207">
        <f>INDEX($A$145:$H$158,MATCH($L148,$B$145:$B$158,0),MATCH($AA$144,$A$145:$H$145,0))*고양시_Modal_split!I$3 * 0.01</f>
        <v>214.38014208206613</v>
      </c>
      <c r="AH148" s="207">
        <f>INDEX($A$145:$H$158,MATCH($L148,$B$145:$B$158,0),MATCH($AA$144,$A$145:$H$145,0))*고양시_Modal_split!J$3 * 0.01</f>
        <v>2347.3854406396022</v>
      </c>
      <c r="AI148" s="207">
        <f>INDEX($A$145:$H$158,MATCH($L148,$B$145:$B$158,0),MATCH($AA$144,$A$145:$H$145,0))*고양시_Modal_split!K$3 * 0.01</f>
        <v>11.567273853348892</v>
      </c>
      <c r="AJ148" s="207">
        <f>INDEX($A$145:$H$158,MATCH($L148,$B$145:$B$158,0),MATCH($AA$144,$A$145:$H$145,0))*고양시_Modal_split!L$3 * 0.01</f>
        <v>232.88778024742439</v>
      </c>
      <c r="AK148" s="207">
        <f>INDEX($A$145:$H$158,MATCH($L148,$B$145:$B$158,0),MATCH($AA$144,$A$145:$H$145,0))*고양시_Modal_split!M$3 * 0.01</f>
        <v>17.736486575134968</v>
      </c>
      <c r="AL148" s="207">
        <f>INDEX($A$145:$H$158,MATCH($L148,$B$145:$B$158,0),MATCH($AA$144,$A$145:$H$145,0))*고양시_Modal_split!N$3 * 0.01</f>
        <v>7.7115159022325956</v>
      </c>
      <c r="AM148" s="207">
        <f>INDEX($A$145:$H$158,MATCH($L148,$B$145:$B$158,0),MATCH($AA$144,$A$145:$H$145,0))*고양시_Modal_split!O$3 * 0.01</f>
        <v>13.880728624018671</v>
      </c>
      <c r="AN148" s="207">
        <f>INDEX($A$145:$H$158,MATCH($L148,$B$145:$B$158,0),MATCH($AA$144,$A$145:$H$145,0))*고양시_Modal_split!P$3 * 0.01</f>
        <v>7711.5159022325952</v>
      </c>
      <c r="AO148" s="303">
        <f>INDEX($A$145:$H$158,MATCH($L148,$B$145:$B$158,0),MATCH($AO$144,$A$145:$H$145,0))*고양시_Modal_split!C$3 * 0.01</f>
        <v>1.2386936231778118</v>
      </c>
      <c r="AP148" s="303">
        <f>INDEX($A$145:$H$158,MATCH($L148,$B$145:$B$158,0),MATCH($AO$144,$A$145:$H$145,0))*고양시_Modal_split!D$3 * 0.01</f>
        <v>208.05628963590178</v>
      </c>
      <c r="AQ148" s="303">
        <f>INDEX($A$145:$H$158,MATCH($L148,$B$145:$B$158,0),MATCH($AO$144,$A$145:$H$145,0))*고양시_Modal_split!E$3 * 0.01</f>
        <v>25.172023985291961</v>
      </c>
      <c r="AR148" s="303">
        <f>INDEX($A$145:$H$158,MATCH($L148,$B$145:$B$158,0),MATCH($AO$144,$A$145:$H$145,0))*고양시_Modal_split!F$3 * 0.01</f>
        <v>40.56721615907334</v>
      </c>
      <c r="AS148" s="303">
        <f>INDEX($A$145:$H$158,MATCH($L148,$B$145:$B$158,0),MATCH($AO$144,$A$145:$H$145,0))*고양시_Modal_split!G$3 * 0.01</f>
        <v>4.069993333298525</v>
      </c>
      <c r="AT148" s="303">
        <f>INDEX($A$145:$H$158,MATCH($L148,$B$145:$B$158,0),MATCH($AO$144,$A$145:$H$145,0))*고양시_Modal_split!H$3 * 0.01</f>
        <v>4.4239057970636139E-2</v>
      </c>
      <c r="AU148" s="303">
        <f>INDEX($A$145:$H$158,MATCH($L148,$B$145:$B$158,0),MATCH($AO$144,$A$145:$H$145,0))*고양시_Modal_split!I$3 * 0.01</f>
        <v>12.298458115836846</v>
      </c>
      <c r="AV148" s="303">
        <f>INDEX($A$145:$H$158,MATCH($L148,$B$145:$B$158,0),MATCH($AO$144,$A$145:$H$145,0))*고양시_Modal_split!J$3 * 0.01</f>
        <v>134.66369246261641</v>
      </c>
      <c r="AW148" s="303">
        <f>INDEX($A$145:$H$158,MATCH($L148,$B$145:$B$158,0),MATCH($AO$144,$A$145:$H$145,0))*고양시_Modal_split!K$3 * 0.01</f>
        <v>0.66358586955954213</v>
      </c>
      <c r="AX148" s="303">
        <f>INDEX($A$145:$H$158,MATCH($L148,$B$145:$B$158,0),MATCH($AO$144,$A$145:$H$145,0))*고양시_Modal_split!L$3 * 0.01</f>
        <v>13.360195507132115</v>
      </c>
      <c r="AY148" s="303">
        <f>INDEX($A$145:$H$158,MATCH($L148,$B$145:$B$158,0),MATCH($AO$144,$A$145:$H$145,0))*고양시_Modal_split!M$3 * 0.01</f>
        <v>1.0174983333246312</v>
      </c>
      <c r="AZ148" s="303">
        <f>INDEX($A$145:$H$158,MATCH($L148,$B$145:$B$158,0),MATCH($AO$144,$A$145:$H$145,0))*고양시_Modal_split!N$3 * 0.01</f>
        <v>0.44239057970636142</v>
      </c>
      <c r="BA148" s="207">
        <f>INDEX($A$145:$H$158,MATCH($L148,$B$145:$B$158,0),MATCH($AO$144,$A$145:$H$145,0))*고양시_Modal_split!O$3 * 0.01</f>
        <v>0.79630304347145042</v>
      </c>
      <c r="BB148" s="207">
        <f>INDEX($A$145:$H$158,MATCH($L148,$B$145:$B$158,0),MATCH($AO$144,$A$145:$H$145,0))*고양시_Modal_split!P$3 * 0.01</f>
        <v>442.39057970636139</v>
      </c>
      <c r="BC148" s="207">
        <f>INDEX($A$145:$H$158,MATCH($L148,$B$145:$B$158,0),MATCH($BC$144,$A$145:$H$145,0))*고양시_Modal_split!C$3 * 0.01</f>
        <v>1.9466112464816242E-3</v>
      </c>
      <c r="BD148" s="207">
        <f>INDEX($A$145:$H$158,MATCH($L148,$B$145:$B$158,0),MATCH($BC$144,$A$145:$H$145,0))*고양시_Modal_split!D$3 * 0.01</f>
        <v>0.32696116757868138</v>
      </c>
      <c r="BE148" s="207">
        <f>INDEX($A$145:$H$158,MATCH($L148,$B$145:$B$158,0),MATCH($BC$144,$A$145:$H$145,0))*고양시_Modal_split!E$3 * 0.01</f>
        <v>3.9557921401715865E-2</v>
      </c>
      <c r="BF148" s="207">
        <f>INDEX($A$145:$H$158,MATCH($L148,$B$145:$B$158,0),MATCH($BC$144,$A$145:$H$145,0))*고양시_Modal_split!F$3 * 0.01</f>
        <v>6.3751518322273201E-2</v>
      </c>
      <c r="BG148" s="207">
        <f>INDEX($A$145:$H$158,MATCH($L148,$B$145:$B$158,0),MATCH($BC$144,$A$145:$H$145,0))*고양시_Modal_split!G$3 * 0.01</f>
        <v>6.3960083812967649E-3</v>
      </c>
      <c r="BH148" s="207">
        <f>INDEX($A$145:$H$158,MATCH($L148,$B$145:$B$158,0),MATCH($BC$144,$A$145:$H$145,0))*고양시_Modal_split!H$3 * 0.01</f>
        <v>6.9521830231486587E-5</v>
      </c>
      <c r="BI148" s="207">
        <f>INDEX($A$145:$H$158,MATCH($L148,$B$145:$B$158,0),MATCH($BC$144,$A$145:$H$145,0))*고양시_Modal_split!I$3 * 0.01</f>
        <v>1.9327068804353271E-2</v>
      </c>
      <c r="BJ148" s="207">
        <f>INDEX($A$145:$H$158,MATCH($L148,$B$145:$B$158,0),MATCH($BC$144,$A$145:$H$145,0))*고양시_Modal_split!J$3 * 0.01</f>
        <v>0.21162445122464515</v>
      </c>
      <c r="BK148" s="207">
        <f>INDEX($A$145:$H$158,MATCH($L148,$B$145:$B$158,0),MATCH($BC$144,$A$145:$H$145,0))*고양시_Modal_split!K$3 * 0.01</f>
        <v>1.0428274534722986E-3</v>
      </c>
      <c r="BL148" s="207">
        <f>INDEX($A$145:$H$158,MATCH($L148,$B$145:$B$158,0),MATCH($BC$144,$A$145:$H$145,0))*고양시_Modal_split!L$3 * 0.01</f>
        <v>2.099559272990895E-2</v>
      </c>
      <c r="BM148" s="207">
        <f>INDEX($A$145:$H$158,MATCH($L148,$B$145:$B$158,0),MATCH($BC$144,$A$145:$H$145,0))*고양시_Modal_split!M$3 * 0.01</f>
        <v>1.5990020953241912E-3</v>
      </c>
      <c r="BN148" s="207">
        <f>INDEX($A$145:$H$158,MATCH($L148,$B$145:$B$158,0),MATCH($BC$144,$A$145:$H$145,0))*고양시_Modal_split!N$3 * 0.01</f>
        <v>6.952183023148659E-4</v>
      </c>
      <c r="BO148" s="207">
        <f>INDEX($A$145:$H$158,MATCH($L148,$B$145:$B$158,0),MATCH($BC$144,$A$145:$H$145,0))*고양시_Modal_split!O$3 * 0.01</f>
        <v>1.2513929441667585E-3</v>
      </c>
      <c r="BP148" s="207">
        <f>INDEX($A$145:$H$158,MATCH($L148,$B$145:$B$158,0),MATCH($BC$144,$A$145:$H$145,0))*고양시_Modal_split!P$3 * 0.01</f>
        <v>0.69521830231486581</v>
      </c>
      <c r="BQ148" s="207">
        <f>INDEX($A$145:$H$158,MATCH($L148,$B$145:$B$158,0),MATCH($BQ$144,$A$145:$H$145,0))*고양시_Modal_split!C$3 * 0.01</f>
        <v>7.3538647089306025E-3</v>
      </c>
      <c r="BR148" s="207">
        <f>INDEX($A$145:$H$158,MATCH($L148,$B$145:$B$158,0),MATCH($BQ$144,$A$145:$H$145,0))*고양시_Modal_split!D$3 * 0.01</f>
        <v>1.2351866330750223</v>
      </c>
      <c r="BS148" s="207">
        <f>INDEX($A$145:$H$158,MATCH($L148,$B$145:$B$158,0),MATCH($BQ$144,$A$145:$H$145,0))*고양시_Modal_split!E$3 * 0.01</f>
        <v>0.1494410364064826</v>
      </c>
      <c r="BT148" s="207">
        <f>INDEX($A$145:$H$158,MATCH($L148,$B$145:$B$158,0),MATCH($BQ$144,$A$145:$H$145,0))*고양시_Modal_split!F$3 * 0.01</f>
        <v>0.24083906921747728</v>
      </c>
      <c r="BU148" s="207">
        <f>INDEX($A$145:$H$158,MATCH($L148,$B$145:$B$158,0),MATCH($BQ$144,$A$145:$H$145,0))*고양시_Modal_split!G$3 * 0.01</f>
        <v>2.416269832934341E-2</v>
      </c>
      <c r="BV148" s="207">
        <f>INDEX($A$145:$H$158,MATCH($L148,$B$145:$B$158,0),MATCH($BQ$144,$A$145:$H$145,0))*고양시_Modal_split!H$3 * 0.01</f>
        <v>2.626380253189501E-4</v>
      </c>
      <c r="BW148" s="207">
        <f>INDEX($A$145:$H$158,MATCH($L148,$B$145:$B$158,0),MATCH($BQ$144,$A$145:$H$145,0))*고양시_Modal_split!I$3 * 0.01</f>
        <v>7.3013371038668118E-2</v>
      </c>
      <c r="BX148" s="207">
        <f>INDEX($A$145:$H$158,MATCH($L148,$B$145:$B$158,0),MATCH($BQ$144,$A$145:$H$145,0))*고양시_Modal_split!J$3 * 0.01</f>
        <v>0.79947014907088421</v>
      </c>
      <c r="BY148" s="207">
        <f>INDEX($A$145:$H$158,MATCH($L148,$B$145:$B$158,0),MATCH($BQ$144,$A$145:$H$145,0))*고양시_Modal_split!K$3 * 0.01</f>
        <v>3.9395703797842517E-3</v>
      </c>
      <c r="BZ148" s="207">
        <f>INDEX($A$145:$H$158,MATCH($L148,$B$145:$B$158,0),MATCH($BQ$144,$A$145:$H$145,0))*고양시_Modal_split!L$3 * 0.01</f>
        <v>7.9316683646322939E-2</v>
      </c>
      <c r="CA148" s="207">
        <f>INDEX($A$145:$H$158,MATCH($L148,$B$145:$B$158,0),MATCH($BQ$144,$A$145:$H$145,0))*고양시_Modal_split!M$3 * 0.01</f>
        <v>6.0406745823358525E-3</v>
      </c>
      <c r="CB148" s="207">
        <f>INDEX($A$145:$H$158,MATCH($L148,$B$145:$B$158,0),MATCH($BQ$144,$A$145:$H$145,0))*고양시_Modal_split!N$3 * 0.01</f>
        <v>2.6263802531895013E-3</v>
      </c>
      <c r="CC148" s="207">
        <f>INDEX($A$145:$H$158,MATCH($L148,$B$145:$B$158,0),MATCH($BQ$144,$A$145:$H$145,0))*고양시_Modal_split!O$3 * 0.01</f>
        <v>4.7274844557411017E-3</v>
      </c>
      <c r="CD148" s="207">
        <f>INDEX($A$145:$H$158,MATCH($L148,$B$145:$B$158,0),MATCH($BQ$144,$A$145:$H$145,0))*고양시_Modal_split!P$3 * 0.01</f>
        <v>2.6263802531895011</v>
      </c>
      <c r="CE148" s="304">
        <f t="shared" si="84"/>
        <v>25.823744795825338</v>
      </c>
      <c r="CF148" s="304">
        <f t="shared" si="64"/>
        <v>4337.4668490988051</v>
      </c>
      <c r="CG148" s="304">
        <f t="shared" si="65"/>
        <v>524.77538531516495</v>
      </c>
      <c r="CH148" s="304">
        <f t="shared" si="66"/>
        <v>845.72764206327975</v>
      </c>
      <c r="CI148" s="304">
        <f t="shared" si="67"/>
        <v>84.849447186283243</v>
      </c>
      <c r="CJ148" s="304">
        <f t="shared" si="68"/>
        <v>0.92227659985090471</v>
      </c>
      <c r="CK148" s="304">
        <f t="shared" si="69"/>
        <v>256.39289475855145</v>
      </c>
      <c r="CL148" s="304">
        <f t="shared" si="70"/>
        <v>2807.409969946154</v>
      </c>
      <c r="CM148" s="304">
        <f t="shared" si="71"/>
        <v>13.834148997763572</v>
      </c>
      <c r="CN148" s="304">
        <f t="shared" si="72"/>
        <v>278.52753315497324</v>
      </c>
      <c r="CO148" s="304">
        <f t="shared" si="73"/>
        <v>21.212361796570811</v>
      </c>
      <c r="CP148" s="304">
        <f t="shared" si="74"/>
        <v>9.2227659985090487</v>
      </c>
      <c r="CQ148" s="304">
        <f t="shared" si="75"/>
        <v>16.600978797316284</v>
      </c>
      <c r="CR148" s="304">
        <f t="shared" si="76"/>
        <v>9222.7659985090486</v>
      </c>
      <c r="CS148" s="305">
        <f t="shared" si="85"/>
        <v>0</v>
      </c>
      <c r="CV148" s="265"/>
      <c r="CW148" s="265" t="s">
        <v>669</v>
      </c>
      <c r="CX148" s="267">
        <f>INDEX($M$144:$Z$158,MATCH($CW148,$L$144:$L$158,0),MATCH(CX$145,$M$145:$Z$145,0))/INDEX(고양시_재차인원!$D$4:$H$35,MATCH("고양시",고양시_재차인원!$B$4:$B$35,0),MATCH($CX$144,고양시_재차인원!$D$4:$H$4,0))</f>
        <v>447.43078825201792</v>
      </c>
      <c r="CY148" s="267">
        <f>INDEX($M$144:$Z$158,MATCH($CW148,$L$144:$L$158,0),MATCH(CY$145,$M$145:$Z$145,0))/INDEX(고양시_재차인원!$K$4:$O$20,MATCH("경기도",고양시_재차인원!$K$4:$K$20,0),MATCH(CY$145,고양시_재차인원!$K$4:$O$4,0))</f>
        <v>3.7010695311378494E-3</v>
      </c>
      <c r="CZ148" s="267">
        <f>INDEX($M$144:$Z$158,MATCH($CW148,$L$144:$L$158,0),MATCH(CZ$145,$M$145:$Z$145,0))/INDEX(고양시_재차인원!$K$4:$O$20,MATCH("경기도",고양시_재차인원!$K$4:$K$20,0),MATCH(CZ$145,고양시_재차인원!$K$4:$O$4,0))</f>
        <v>1.028897329656322</v>
      </c>
      <c r="DA148" s="267">
        <f>INDEX($M$144:$Z$158,MATCH($CW148,$L$144:$L$158,0),MATCH(DA$145,$M$145:$Z$145,0))/INDEX(고양시_재차인원!$D$4:$H$35,MATCH("고양시",고양시_재차인원!$B$4:$B$35,0),MATCH($CX$144,고양시_재차인원!$D$4:$H$4,0))</f>
        <v>28.731468860750461</v>
      </c>
      <c r="DB148" s="267">
        <f>INDEX($AA$144:$AN$158,MATCH($CW148,$L$144:$L$158,0),MATCH(DB$145,$AA$145:$AN$145,0))/INDEX(고양시_재차인원!$D$4:$H$35,MATCH("고양시",고양시_재차인원!$B$4:$B$35,0),MATCH($DB$144,고양시_재차인원!$D$4:$H$4,0))</f>
        <v>2572.1460488085036</v>
      </c>
      <c r="DC148" s="267">
        <f>INDEX($AA$144:$AN$158,MATCH($CW148,$L$144:$L$158,0),MATCH(DC$145,$AA$145:$AN$145,0))/INDEX(고양시_재차인원!$K$4:$O$20,MATCH("경기도",고양시_재차인원!$K$4:$K$20,0),MATCH(DC$145,고양시_재차인원!$K$4:$O$4,0))</f>
        <v>2.6785397367949271E-2</v>
      </c>
      <c r="DD148" s="267">
        <f>INDEX($AA$144:$AN$158,MATCH($CW148,$L$144:$L$158,0),MATCH(DD$145,$AA$145:$AN$145,0))/INDEX(고양시_재차인원!$K$4:$O$20,MATCH("경기도",고양시_재차인원!$K$4:$K$20,0),MATCH(DD$145,고양시_재차인원!$K$4:$O$4,0))</f>
        <v>7.4463404682898968</v>
      </c>
      <c r="DE148" s="267">
        <f>INDEX($AA$144:$AN$158,MATCH($CW148,$L$144:$L$158,0),MATCH(DE$145,$AA$145:$AN$145,0))/INDEX(고양시_재차인원!$D$4:$H$35,MATCH("고양시",고양시_재차인원!$B$4:$B$35,0),MATCH($DB$144,고양시_재차인원!$D$4:$H$4,0))</f>
        <v>165.16863847335063</v>
      </c>
      <c r="DF148" s="267">
        <f>INDEX($AO$144:$BB$158,MATCH($CW148,$L$144:$L$158,0),MATCH(DF$145,$AO$145:$BB$145,0))/INDEX(고양시_재차인원!$D$4:$H$35,MATCH("고양시",고양시_재차인원!$B$4:$B$35,0),MATCH($DF$144,고양시_재차인원!$D$4:$H$4,0))</f>
        <v>160.04329971992445</v>
      </c>
      <c r="DG148" s="267">
        <f>INDEX($AO$144:$BB$158,MATCH($CW148,$L$144:$L$158,0),MATCH(DG$145,$AO$145:$BB$145,0))/INDEX(고양시_재차인원!$K$4:$O$20,MATCH("경기도",고양시_재차인원!$K$4:$K$20,0),MATCH(DG$145,고양시_재차인원!$K$4:$O$4,0))</f>
        <v>1.5366119475733291E-3</v>
      </c>
      <c r="DH148" s="267">
        <f>INDEX($AO$144:$BB$158,MATCH($CW148,$L$144:$L$158,0),MATCH(DH$145,$AO$145:$BB$145,0))/INDEX(고양시_재차인원!$K$4:$O$20,MATCH("경기도",고양시_재차인원!$K$4:$K$20,0),MATCH(DH$145,고양시_재차인원!$K$4:$O$4,0))</f>
        <v>0.42717812142538542</v>
      </c>
      <c r="DI148" s="267">
        <f>INDEX($AO$144:$BB$158,MATCH($CW148,$L$144:$L$158,0),MATCH(DI$145,$AO$145:$BB$145,0))/INDEX(고양시_재차인원!$D$4:$H$35,MATCH("고양시",고양시_재차인원!$B$4:$B$35,0),MATCH($DF$144,고양시_재차인원!$D$4:$H$4,0))</f>
        <v>10.277073467024703</v>
      </c>
      <c r="DJ148" s="267">
        <f>INDEX($BC$144:$BP$158,MATCH($CW148,$L$144:$L$158,0),MATCH(DJ$145,$BC$145:$BP$145,0))/INDEX(고양시_재차인원!$D$4:$H$35,MATCH("고양시",고양시_재차인원!$B$4:$B$35,0),MATCH($DJ$144,고양시_재차인원!$D$4:$H$4,0))</f>
        <v>0.24041262321961865</v>
      </c>
      <c r="DK148" s="267">
        <f>INDEX($BC$144:$BP$158,MATCH($CW148,$L$144:$L$158,0),MATCH(DK$145,$BC$145:$BP$145,0))/INDEX(고양시_재차인원!$K$4:$O$20,MATCH("경기도",고양시_재차인원!$K$4:$K$20,0),MATCH(DK$145,고양시_재차인원!$K$4:$O$4,0))</f>
        <v>2.4147909076584435E-6</v>
      </c>
      <c r="DL148" s="267">
        <f>INDEX($BC$144:$BP$158,MATCH($CW148,$L$144:$L$158,0),MATCH(DL$145,$BC$145:$BP$145,0))/INDEX(고양시_재차인원!$K$4:$O$20,MATCH("경기도",고양시_재차인원!$K$4:$K$20,0),MATCH(DL$145,고양시_재차인원!$K$4:$O$4,0))</f>
        <v>6.7131187232904728E-4</v>
      </c>
      <c r="DM148" s="267">
        <f>INDEX($BC$144:$BP$158,MATCH($CW148,$L$144:$L$158,0),MATCH(DM$145,$BC$145:$BP$145,0))/INDEX(고양시_재차인원!$D$4:$H$35,MATCH("고양시",고양시_재차인원!$B$4:$B$35,0),MATCH($DJ$144,고양시_재차인원!$D$4:$H$4,0))</f>
        <v>1.5437935830815402E-2</v>
      </c>
      <c r="DN148" s="267">
        <f>INDEX($BQ$144:$CD$158,MATCH($CW148,$L$144:$L$158,0),MATCH(DN$145,$BQ$145:$CD$145,0))/INDEX(고양시_재차인원!$D$4:$H$35,MATCH("고양시",고양시_재차인원!$B$4:$B$35,0),MATCH($DN$144,고양시_재차인원!$D$4:$H$4,0))</f>
        <v>0.98030685164684306</v>
      </c>
      <c r="DO148" s="267">
        <f>INDEX($BQ$144:$CD$158,MATCH($CW148,$L$144:$L$158,0),MATCH(DO$145,$BQ$145:$CD$145,0))/INDEX(고양시_재차인원!$K$4:$O$20,MATCH("경기도",고양시_재차인원!$K$4:$K$20,0),MATCH(DO$145,고양시_재차인원!$K$4:$O$4,0))</f>
        <v>9.122543428931925E-6</v>
      </c>
      <c r="DP148" s="267">
        <f>INDEX($BQ$144:$CD$158,MATCH($CW148,$L$144:$L$158,0),MATCH(DP$145,$BQ$145:$CD$145,0))/INDEX(고양시_재차인원!$K$4:$O$20,MATCH("경기도",고양시_재차인원!$K$4:$K$20,0),MATCH(DP$145,고양시_재차인원!$K$4:$O$4,0))</f>
        <v>2.5360670732430747E-3</v>
      </c>
      <c r="DQ148" s="267">
        <f>INDEX($BQ$144:$CD$158,MATCH($CW148,$L$144:$L$158,0),MATCH(DQ$145,$BQ$145:$CD$145,0))/INDEX(고양시_재차인원!$D$4:$H$35,MATCH("고양시",고양시_재차인원!$B$4:$B$35,0),MATCH($DN$144,고양시_재차인원!$D$4:$H$4,0))</f>
        <v>6.2949748925653123E-2</v>
      </c>
      <c r="DR148" s="270">
        <f t="shared" si="86"/>
        <v>3180.8408562553122</v>
      </c>
      <c r="DS148" s="270">
        <f t="shared" si="77"/>
        <v>3.2034616180997039E-2</v>
      </c>
      <c r="DT148" s="270">
        <f t="shared" si="78"/>
        <v>8.9056232983171775</v>
      </c>
      <c r="DU148" s="270">
        <f t="shared" si="79"/>
        <v>204.25556848588226</v>
      </c>
      <c r="DW148" s="278"/>
      <c r="DX148" s="278" t="s">
        <v>669</v>
      </c>
      <c r="DY148" s="281">
        <f t="shared" si="87"/>
        <v>3385.0964247411944</v>
      </c>
      <c r="DZ148" s="281">
        <f t="shared" si="88"/>
        <v>8.9376579144981747</v>
      </c>
      <c r="EB148" s="278"/>
      <c r="EC148" s="278" t="s">
        <v>669</v>
      </c>
      <c r="ED148" s="281">
        <f t="shared" si="89"/>
        <v>3385.0964247411944</v>
      </c>
      <c r="EE148" s="281">
        <f t="shared" si="80"/>
        <v>8.9376579144981747</v>
      </c>
      <c r="EL148" s="306" t="s">
        <v>12</v>
      </c>
      <c r="EM148" s="306" t="s">
        <v>359</v>
      </c>
      <c r="EN148" s="306">
        <v>5055.2204000000002</v>
      </c>
      <c r="EO148" s="306">
        <v>7.5479196375319413E-2</v>
      </c>
      <c r="EP148" s="307">
        <v>849103</v>
      </c>
      <c r="EQ148" s="308">
        <f t="shared" si="90"/>
        <v>15.608461054827094</v>
      </c>
      <c r="ER148" s="308">
        <f t="shared" si="91"/>
        <v>4.121096358148129E-2</v>
      </c>
      <c r="ET148" s="420" t="s">
        <v>12</v>
      </c>
      <c r="EU148" s="420" t="s">
        <v>359</v>
      </c>
      <c r="EV148" s="420">
        <v>5055.2204000000002</v>
      </c>
      <c r="EW148" s="420">
        <v>7.5479196375319413E-2</v>
      </c>
      <c r="EX148" s="421">
        <v>849103</v>
      </c>
      <c r="EY148" s="422">
        <f t="shared" si="92"/>
        <v>15.163619914764523</v>
      </c>
      <c r="EZ148" s="422">
        <f t="shared" si="81"/>
        <v>4.0036451119409074E-2</v>
      </c>
      <c r="FA148">
        <v>0</v>
      </c>
      <c r="FD148" s="306" t="s">
        <v>12</v>
      </c>
      <c r="FE148" s="306" t="s">
        <v>359</v>
      </c>
      <c r="FF148" s="306">
        <v>5055.2204000000002</v>
      </c>
      <c r="FG148" s="306">
        <v>7.5479196375319413E-2</v>
      </c>
      <c r="FH148" s="307">
        <v>849103</v>
      </c>
      <c r="FI148" s="308">
        <f t="shared" si="82"/>
        <v>15.163619914764523</v>
      </c>
      <c r="FJ148" s="308">
        <f t="shared" si="83"/>
        <v>4.0036451119409074E-2</v>
      </c>
      <c r="FL148" s="101"/>
      <c r="FM148" s="101"/>
      <c r="FN148" s="101"/>
      <c r="FO148" s="101"/>
      <c r="FP148" s="374"/>
      <c r="FQ148" s="404"/>
      <c r="FR148" s="404"/>
    </row>
    <row r="149" spans="1:174" ht="25">
      <c r="A149" s="205"/>
      <c r="B149" s="205" t="s">
        <v>671</v>
      </c>
      <c r="C149" s="400">
        <f>$AB64*KTDB_TripDistribution_2035!T$12 * (1+KTDB_발생량도착량_증가율!$C$7*2) * (1+KTDB_발생량도착량_증가율!$D$8*5)* (1+KTDB_발생량도착량_증가율!$E$8*5)</f>
        <v>171.3409397105404</v>
      </c>
      <c r="D149" s="400">
        <f>$AB64*KTDB_TripDistribution_2035!U$12 * (1+KTDB_발생량도착량_증가율!$C$7*2) * (1+KTDB_발생량도착량_증가율!$D$8*5)* (1+KTDB_발생량도착량_증가율!$E$8*5)</f>
        <v>1240.0294339062843</v>
      </c>
      <c r="E149" s="400">
        <f>$AB64*KTDB_TripDistribution_2035!V$12 * (1+KTDB_발생량도착량_증가율!$C$7*2) * (1+KTDB_발생량도착량_증가율!$D$8*5)* (1+KTDB_발생량도착량_증가율!$E$8*5)</f>
        <v>71.137419292610318</v>
      </c>
      <c r="F149" s="400">
        <f>$AB64*KTDB_TripDistribution_2035!W$12 * (1+KTDB_발생량도착량_증가율!$C$7*2) * (1+KTDB_발생량도착량_증가율!$D$8*5)* (1+KTDB_발생량도착량_증가율!$E$8*5)</f>
        <v>0.11179269663584603</v>
      </c>
      <c r="G149" s="400">
        <f>$AB64*KTDB_TripDistribution_2035!X$12 * (1+KTDB_발생량도착량_증가율!$C$7*2) * (1+KTDB_발생량도착량_증가율!$D$8*5)* (1+KTDB_발생량도착량_증가율!$E$8*5)</f>
        <v>0.42232796506875303</v>
      </c>
      <c r="H149" s="400">
        <f>$AB64*KTDB_TripDistribution_2035!Y$12 * (1+KTDB_발생량도착량_증가율!$C$7*2) * (1+KTDB_발생량도착량_증가율!$D$8*5)* (1+KTDB_발생량도착량_증가율!$E$8*5)</f>
        <v>1483.0419135711397</v>
      </c>
      <c r="J149" s="230">
        <f t="shared" si="63"/>
        <v>1483.0419135711395</v>
      </c>
      <c r="K149" s="206"/>
      <c r="L149" s="206" t="s">
        <v>671</v>
      </c>
      <c r="M149" s="206">
        <f>INDEX($A$145:$H$158,MATCH($L149,$B$145:$B$158,0),MATCH($M$144,$A$145:$H$145,0))*고양시_Modal_split!C$3 * 0.01</f>
        <v>0.47975463118951306</v>
      </c>
      <c r="N149" s="206">
        <f>INDEX($A$145:$H$158,MATCH($L149,$B$145:$B$158,0),MATCH($M$144,$A$145:$H$145,0))*고양시_Modal_split!D$3 * 0.01</f>
        <v>80.581643945867157</v>
      </c>
      <c r="O149" s="206">
        <f>INDEX($A$145:$H$158,MATCH($L149,$B$145:$B$158,0),MATCH($M$144,$A$145:$H$145,0))*고양시_Modal_split!E$3 * 0.01</f>
        <v>9.7492994695297472</v>
      </c>
      <c r="P149" s="206">
        <f>INDEX($A$145:$H$158,MATCH($L149,$B$145:$B$158,0),MATCH($M$144,$A$145:$H$145,0))*고양시_Modal_split!F$3 * 0.01</f>
        <v>15.711964171456556</v>
      </c>
      <c r="Q149" s="206">
        <f>INDEX($A$145:$H$158,MATCH($L149,$B$145:$B$158,0),MATCH($M$144,$A$145:$H$145,0))*고양시_Modal_split!G$3 * 0.01</f>
        <v>1.5763366453369716</v>
      </c>
      <c r="R149" s="206">
        <f>INDEX($A$145:$H$158,MATCH($L149,$B$145:$B$158,0),MATCH($M$144,$A$145:$H$145,0))*고양시_Modal_split!H$3 * 0.01</f>
        <v>1.7134093971054042E-2</v>
      </c>
      <c r="S149" s="206">
        <f>INDEX($A$145:$H$158,MATCH($L149,$B$145:$B$158,0),MATCH($M$144,$A$145:$H$145,0))*고양시_Modal_split!I$3 * 0.01</f>
        <v>4.7632781239530226</v>
      </c>
      <c r="T149" s="206">
        <f>INDEX($A$145:$H$158,MATCH($L149,$B$145:$B$158,0),MATCH($M$144,$A$145:$H$145,0))*고양시_Modal_split!J$3 * 0.01</f>
        <v>52.1561820478885</v>
      </c>
      <c r="U149" s="206">
        <f>INDEX($A$145:$H$158,MATCH($L149,$B$145:$B$158,0),MATCH($M$144,$A$145:$H$145,0))*고양시_Modal_split!K$3 * 0.01</f>
        <v>0.25701140956581059</v>
      </c>
      <c r="V149" s="206">
        <f>INDEX($A$145:$H$158,MATCH($L149,$B$145:$B$158,0),MATCH($M$144,$A$145:$H$145,0))*고양시_Modal_split!L$3 * 0.01</f>
        <v>5.1744963792583203</v>
      </c>
      <c r="W149" s="206">
        <f>INDEX($A$145:$H$158,MATCH($L149,$B$145:$B$158,0),MATCH($M$144,$A$145:$H$145,0))*고양시_Modal_split!M$3 * 0.01</f>
        <v>0.3940841613342429</v>
      </c>
      <c r="X149" s="206">
        <f>INDEX($A$145:$H$158,MATCH($L149,$B$145:$B$158,0),MATCH($M$144,$A$145:$H$145,0))*고양시_Modal_split!N$3 * 0.01</f>
        <v>0.1713409397105404</v>
      </c>
      <c r="Y149" s="206">
        <f>INDEX($A$145:$H$158,MATCH($L149,$B$145:$B$158,0),MATCH($M$144,$A$145:$H$145,0))*고양시_Modal_split!O$3 * 0.01</f>
        <v>0.30841369147897274</v>
      </c>
      <c r="Z149" s="209">
        <f>INDEX($A$145:$H$158,MATCH($L149,$B$145:$B$158,0),MATCH($M$144,$A$145:$H$145,0))*고양시_Modal_split!P$3 * 0.01</f>
        <v>171.3409397105404</v>
      </c>
      <c r="AA149" s="207">
        <f>INDEX($A$145:$H$158,MATCH($L149,$B$145:$B$158,0),MATCH($AA$144,$A$145:$H$145,0))*고양시_Modal_split!C$3 * 0.01</f>
        <v>3.4720824149375962</v>
      </c>
      <c r="AB149" s="207">
        <f>INDEX($A$145:$H$158,MATCH($L149,$B$145:$B$158,0),MATCH($AA$144,$A$145:$H$145,0))*고양시_Modal_split!D$3 * 0.01</f>
        <v>583.18584276612557</v>
      </c>
      <c r="AC149" s="207">
        <f>INDEX($A$145:$H$158,MATCH($L149,$B$145:$B$158,0),MATCH($AA$144,$A$145:$H$145,0))*고양시_Modal_split!E$3 * 0.01</f>
        <v>70.55767478926758</v>
      </c>
      <c r="AD149" s="207">
        <f>INDEX($A$145:$H$158,MATCH($L149,$B$145:$B$158,0),MATCH($AA$144,$A$145:$H$145,0))*고양시_Modal_split!F$3 * 0.01</f>
        <v>113.71069908920627</v>
      </c>
      <c r="AE149" s="207">
        <f>INDEX($A$145:$H$158,MATCH($L149,$B$145:$B$158,0),MATCH($AA$144,$A$145:$H$145,0))*고양시_Modal_split!G$3 * 0.01</f>
        <v>11.408270791937815</v>
      </c>
      <c r="AF149" s="207">
        <f>INDEX($A$145:$H$158,MATCH($L149,$B$145:$B$158,0),MATCH($AA$144,$A$145:$H$145,0))*고양시_Modal_split!H$3 * 0.01</f>
        <v>0.12400294339062845</v>
      </c>
      <c r="AG149" s="207">
        <f>INDEX($A$145:$H$158,MATCH($L149,$B$145:$B$158,0),MATCH($AA$144,$A$145:$H$145,0))*고양시_Modal_split!I$3 * 0.01</f>
        <v>34.4728182625947</v>
      </c>
      <c r="AH149" s="207">
        <f>INDEX($A$145:$H$158,MATCH($L149,$B$145:$B$158,0),MATCH($AA$144,$A$145:$H$145,0))*고양시_Modal_split!J$3 * 0.01</f>
        <v>377.46495968107297</v>
      </c>
      <c r="AI149" s="207">
        <f>INDEX($A$145:$H$158,MATCH($L149,$B$145:$B$158,0),MATCH($AA$144,$A$145:$H$145,0))*고양시_Modal_split!K$3 * 0.01</f>
        <v>1.8600441508594265</v>
      </c>
      <c r="AJ149" s="207">
        <f>INDEX($A$145:$H$158,MATCH($L149,$B$145:$B$158,0),MATCH($AA$144,$A$145:$H$145,0))*고양시_Modal_split!L$3 * 0.01</f>
        <v>37.448888903969788</v>
      </c>
      <c r="AK149" s="207">
        <f>INDEX($A$145:$H$158,MATCH($L149,$B$145:$B$158,0),MATCH($AA$144,$A$145:$H$145,0))*고양시_Modal_split!M$3 * 0.01</f>
        <v>2.8520676979844537</v>
      </c>
      <c r="AL149" s="207">
        <f>INDEX($A$145:$H$158,MATCH($L149,$B$145:$B$158,0),MATCH($AA$144,$A$145:$H$145,0))*고양시_Modal_split!N$3 * 0.01</f>
        <v>1.2400294339062845</v>
      </c>
      <c r="AM149" s="207">
        <f>INDEX($A$145:$H$158,MATCH($L149,$B$145:$B$158,0),MATCH($AA$144,$A$145:$H$145,0))*고양시_Modal_split!O$3 * 0.01</f>
        <v>2.2320529810313121</v>
      </c>
      <c r="AN149" s="207">
        <f>INDEX($A$145:$H$158,MATCH($L149,$B$145:$B$158,0),MATCH($AA$144,$A$145:$H$145,0))*고양시_Modal_split!P$3 * 0.01</f>
        <v>1240.0294339062843</v>
      </c>
      <c r="AO149" s="303">
        <f>INDEX($A$145:$H$158,MATCH($L149,$B$145:$B$158,0),MATCH($AO$144,$A$145:$H$145,0))*고양시_Modal_split!C$3 * 0.01</f>
        <v>0.19918477401930887</v>
      </c>
      <c r="AP149" s="303">
        <f>INDEX($A$145:$H$158,MATCH($L149,$B$145:$B$158,0),MATCH($AO$144,$A$145:$H$145,0))*고양시_Modal_split!D$3 * 0.01</f>
        <v>33.455928293314635</v>
      </c>
      <c r="AQ149" s="303">
        <f>INDEX($A$145:$H$158,MATCH($L149,$B$145:$B$158,0),MATCH($AO$144,$A$145:$H$145,0))*고양시_Modal_split!E$3 * 0.01</f>
        <v>4.0477191577495271</v>
      </c>
      <c r="AR149" s="303">
        <f>INDEX($A$145:$H$158,MATCH($L149,$B$145:$B$158,0),MATCH($AO$144,$A$145:$H$145,0))*고양시_Modal_split!F$3 * 0.01</f>
        <v>6.5233013491323666</v>
      </c>
      <c r="AS149" s="303">
        <f>INDEX($A$145:$H$158,MATCH($L149,$B$145:$B$158,0),MATCH($AO$144,$A$145:$H$145,0))*고양시_Modal_split!G$3 * 0.01</f>
        <v>0.65446425749201487</v>
      </c>
      <c r="AT149" s="303">
        <f>INDEX($A$145:$H$158,MATCH($L149,$B$145:$B$158,0),MATCH($AO$144,$A$145:$H$145,0))*고양시_Modal_split!H$3 * 0.01</f>
        <v>7.1137419292610317E-3</v>
      </c>
      <c r="AU149" s="303">
        <f>INDEX($A$145:$H$158,MATCH($L149,$B$145:$B$158,0),MATCH($AO$144,$A$145:$H$145,0))*고양시_Modal_split!I$3 * 0.01</f>
        <v>1.9776202563345666</v>
      </c>
      <c r="AV149" s="303">
        <f>INDEX($A$145:$H$158,MATCH($L149,$B$145:$B$158,0),MATCH($AO$144,$A$145:$H$145,0))*고양시_Modal_split!J$3 * 0.01</f>
        <v>21.654230432670584</v>
      </c>
      <c r="AW149" s="303">
        <f>INDEX($A$145:$H$158,MATCH($L149,$B$145:$B$158,0),MATCH($AO$144,$A$145:$H$145,0))*고양시_Modal_split!K$3 * 0.01</f>
        <v>0.10670612893891548</v>
      </c>
      <c r="AX149" s="303">
        <f>INDEX($A$145:$H$158,MATCH($L149,$B$145:$B$158,0),MATCH($AO$144,$A$145:$H$145,0))*고양시_Modal_split!L$3 * 0.01</f>
        <v>2.1483500626368319</v>
      </c>
      <c r="AY149" s="303">
        <f>INDEX($A$145:$H$158,MATCH($L149,$B$145:$B$158,0),MATCH($AO$144,$A$145:$H$145,0))*고양시_Modal_split!M$3 * 0.01</f>
        <v>0.16361606437300372</v>
      </c>
      <c r="AZ149" s="303">
        <f>INDEX($A$145:$H$158,MATCH($L149,$B$145:$B$158,0),MATCH($AO$144,$A$145:$H$145,0))*고양시_Modal_split!N$3 * 0.01</f>
        <v>7.1137419292610318E-2</v>
      </c>
      <c r="BA149" s="207">
        <f>INDEX($A$145:$H$158,MATCH($L149,$B$145:$B$158,0),MATCH($AO$144,$A$145:$H$145,0))*고양시_Modal_split!O$3 * 0.01</f>
        <v>0.12804735472669856</v>
      </c>
      <c r="BB149" s="207">
        <f>INDEX($A$145:$H$158,MATCH($L149,$B$145:$B$158,0),MATCH($AO$144,$A$145:$H$145,0))*고양시_Modal_split!P$3 * 0.01</f>
        <v>71.137419292610318</v>
      </c>
      <c r="BC149" s="207">
        <f>INDEX($A$145:$H$158,MATCH($L149,$B$145:$B$158,0),MATCH($BC$144,$A$145:$H$145,0))*고양시_Modal_split!C$3 * 0.01</f>
        <v>3.1301955058036889E-4</v>
      </c>
      <c r="BD149" s="207">
        <f>INDEX($A$145:$H$158,MATCH($L149,$B$145:$B$158,0),MATCH($BC$144,$A$145:$H$145,0))*고양시_Modal_split!D$3 * 0.01</f>
        <v>5.2576105227838392E-2</v>
      </c>
      <c r="BE149" s="207">
        <f>INDEX($A$145:$H$158,MATCH($L149,$B$145:$B$158,0),MATCH($BC$144,$A$145:$H$145,0))*고양시_Modal_split!E$3 * 0.01</f>
        <v>6.3610044385796387E-3</v>
      </c>
      <c r="BF149" s="207">
        <f>INDEX($A$145:$H$158,MATCH($L149,$B$145:$B$158,0),MATCH($BC$144,$A$145:$H$145,0))*고양시_Modal_split!F$3 * 0.01</f>
        <v>1.0251390281507081E-2</v>
      </c>
      <c r="BG149" s="207">
        <f>INDEX($A$145:$H$158,MATCH($L149,$B$145:$B$158,0),MATCH($BC$144,$A$145:$H$145,0))*고양시_Modal_split!G$3 * 0.01</f>
        <v>1.0284928090497833E-3</v>
      </c>
      <c r="BH149" s="207">
        <f>INDEX($A$145:$H$158,MATCH($L149,$B$145:$B$158,0),MATCH($BC$144,$A$145:$H$145,0))*고양시_Modal_split!H$3 * 0.01</f>
        <v>1.1179269663584603E-5</v>
      </c>
      <c r="BI149" s="207">
        <f>INDEX($A$145:$H$158,MATCH($L149,$B$145:$B$158,0),MATCH($BC$144,$A$145:$H$145,0))*고양시_Modal_split!I$3 * 0.01</f>
        <v>3.1078369664765196E-3</v>
      </c>
      <c r="BJ149" s="207">
        <f>INDEX($A$145:$H$158,MATCH($L149,$B$145:$B$158,0),MATCH($BC$144,$A$145:$H$145,0))*고양시_Modal_split!J$3 * 0.01</f>
        <v>3.402969685595153E-2</v>
      </c>
      <c r="BK149" s="207">
        <f>INDEX($A$145:$H$158,MATCH($L149,$B$145:$B$158,0),MATCH($BC$144,$A$145:$H$145,0))*고양시_Modal_split!K$3 * 0.01</f>
        <v>1.6768904495376903E-4</v>
      </c>
      <c r="BL149" s="207">
        <f>INDEX($A$145:$H$158,MATCH($L149,$B$145:$B$158,0),MATCH($BC$144,$A$145:$H$145,0))*고양시_Modal_split!L$3 * 0.01</f>
        <v>3.3761394384025502E-3</v>
      </c>
      <c r="BM149" s="207">
        <f>INDEX($A$145:$H$158,MATCH($L149,$B$145:$B$158,0),MATCH($BC$144,$A$145:$H$145,0))*고양시_Modal_split!M$3 * 0.01</f>
        <v>2.5712320226244583E-4</v>
      </c>
      <c r="BN149" s="207">
        <f>INDEX($A$145:$H$158,MATCH($L149,$B$145:$B$158,0),MATCH($BC$144,$A$145:$H$145,0))*고양시_Modal_split!N$3 * 0.01</f>
        <v>1.1179269663584603E-4</v>
      </c>
      <c r="BO149" s="207">
        <f>INDEX($A$145:$H$158,MATCH($L149,$B$145:$B$158,0),MATCH($BC$144,$A$145:$H$145,0))*고양시_Modal_split!O$3 * 0.01</f>
        <v>2.0122685394452286E-4</v>
      </c>
      <c r="BP149" s="207">
        <f>INDEX($A$145:$H$158,MATCH($L149,$B$145:$B$158,0),MATCH($BC$144,$A$145:$H$145,0))*고양시_Modal_split!P$3 * 0.01</f>
        <v>0.11179269663584603</v>
      </c>
      <c r="BQ149" s="207">
        <f>INDEX($A$145:$H$158,MATCH($L149,$B$145:$B$158,0),MATCH($BQ$144,$A$145:$H$145,0))*고양시_Modal_split!C$3 * 0.01</f>
        <v>1.1825183021925085E-3</v>
      </c>
      <c r="BR149" s="207">
        <f>INDEX($A$145:$H$158,MATCH($L149,$B$145:$B$158,0),MATCH($BQ$144,$A$145:$H$145,0))*고양시_Modal_split!D$3 * 0.01</f>
        <v>0.19862084197183458</v>
      </c>
      <c r="BS149" s="207">
        <f>INDEX($A$145:$H$158,MATCH($L149,$B$145:$B$158,0),MATCH($BQ$144,$A$145:$H$145,0))*고양시_Modal_split!E$3 * 0.01</f>
        <v>2.4030461212412046E-2</v>
      </c>
      <c r="BT149" s="207">
        <f>INDEX($A$145:$H$158,MATCH($L149,$B$145:$B$158,0),MATCH($BQ$144,$A$145:$H$145,0))*고양시_Modal_split!F$3 * 0.01</f>
        <v>3.8727474396804656E-2</v>
      </c>
      <c r="BU149" s="207">
        <f>INDEX($A$145:$H$158,MATCH($L149,$B$145:$B$158,0),MATCH($BQ$144,$A$145:$H$145,0))*고양시_Modal_split!G$3 * 0.01</f>
        <v>3.8854172786325276E-3</v>
      </c>
      <c r="BV149" s="207">
        <f>INDEX($A$145:$H$158,MATCH($L149,$B$145:$B$158,0),MATCH($BQ$144,$A$145:$H$145,0))*고양시_Modal_split!H$3 * 0.01</f>
        <v>4.2232796506875306E-5</v>
      </c>
      <c r="BW149" s="207">
        <f>INDEX($A$145:$H$158,MATCH($L149,$B$145:$B$158,0),MATCH($BQ$144,$A$145:$H$145,0))*고양시_Modal_split!I$3 * 0.01</f>
        <v>1.1740717428911335E-2</v>
      </c>
      <c r="BX149" s="207">
        <f>INDEX($A$145:$H$158,MATCH($L149,$B$145:$B$158,0),MATCH($BQ$144,$A$145:$H$145,0))*고양시_Modal_split!J$3 * 0.01</f>
        <v>0.12855663256692842</v>
      </c>
      <c r="BY149" s="207">
        <f>INDEX($A$145:$H$158,MATCH($L149,$B$145:$B$158,0),MATCH($BQ$144,$A$145:$H$145,0))*고양시_Modal_split!K$3 * 0.01</f>
        <v>6.3349194760312945E-4</v>
      </c>
      <c r="BZ149" s="207">
        <f>INDEX($A$145:$H$158,MATCH($L149,$B$145:$B$158,0),MATCH($BQ$144,$A$145:$H$145,0))*고양시_Modal_split!L$3 * 0.01</f>
        <v>1.2754304545076343E-2</v>
      </c>
      <c r="CA149" s="207">
        <f>INDEX($A$145:$H$158,MATCH($L149,$B$145:$B$158,0),MATCH($BQ$144,$A$145:$H$145,0))*고양시_Modal_split!M$3 * 0.01</f>
        <v>9.713543196581319E-4</v>
      </c>
      <c r="CB149" s="207">
        <f>INDEX($A$145:$H$158,MATCH($L149,$B$145:$B$158,0),MATCH($BQ$144,$A$145:$H$145,0))*고양시_Modal_split!N$3 * 0.01</f>
        <v>4.2232796506875311E-4</v>
      </c>
      <c r="CC149" s="207">
        <f>INDEX($A$145:$H$158,MATCH($L149,$B$145:$B$158,0),MATCH($BQ$144,$A$145:$H$145,0))*고양시_Modal_split!O$3 * 0.01</f>
        <v>7.6019033712375545E-4</v>
      </c>
      <c r="CD149" s="207">
        <f>INDEX($A$145:$H$158,MATCH($L149,$B$145:$B$158,0),MATCH($BQ$144,$A$145:$H$145,0))*고양시_Modal_split!P$3 * 0.01</f>
        <v>0.42232796506875303</v>
      </c>
      <c r="CE149" s="304">
        <f t="shared" si="84"/>
        <v>4.1525173579991899</v>
      </c>
      <c r="CF149" s="304">
        <f t="shared" si="64"/>
        <v>697.47461195250708</v>
      </c>
      <c r="CG149" s="304">
        <f t="shared" si="65"/>
        <v>84.385084882197845</v>
      </c>
      <c r="CH149" s="304">
        <f t="shared" si="66"/>
        <v>135.9949434744735</v>
      </c>
      <c r="CI149" s="304">
        <f t="shared" si="67"/>
        <v>13.643985604854484</v>
      </c>
      <c r="CJ149" s="304">
        <f t="shared" si="68"/>
        <v>0.14830419135711398</v>
      </c>
      <c r="CK149" s="304">
        <f t="shared" si="69"/>
        <v>41.228565197277682</v>
      </c>
      <c r="CL149" s="304">
        <f t="shared" si="70"/>
        <v>451.43795849105493</v>
      </c>
      <c r="CM149" s="304">
        <f t="shared" si="71"/>
        <v>2.2245628703567095</v>
      </c>
      <c r="CN149" s="304">
        <f t="shared" si="72"/>
        <v>44.787865789848418</v>
      </c>
      <c r="CO149" s="304">
        <f t="shared" si="73"/>
        <v>3.4109964012136209</v>
      </c>
      <c r="CP149" s="304">
        <f t="shared" si="74"/>
        <v>1.4830419135711399</v>
      </c>
      <c r="CQ149" s="304">
        <f t="shared" si="75"/>
        <v>2.669475444428052</v>
      </c>
      <c r="CR149" s="304">
        <f t="shared" si="76"/>
        <v>1483.0419135711395</v>
      </c>
      <c r="CS149" s="305">
        <f t="shared" si="85"/>
        <v>0</v>
      </c>
      <c r="CV149" s="265"/>
      <c r="CW149" s="265" t="s">
        <v>671</v>
      </c>
      <c r="CX149" s="267">
        <f>INDEX($M$144:$Z$158,MATCH($CW149,$L$144:$L$158,0),MATCH(CX$145,$M$145:$Z$145,0))/INDEX(고양시_재차인원!$D$4:$H$35,MATCH("고양시",고양시_재차인원!$B$4:$B$35,0),MATCH($CX$144,고양시_재차인원!$D$4:$H$4,0))</f>
        <v>71.947896380238532</v>
      </c>
      <c r="CY149" s="267">
        <f>INDEX($M$144:$Z$158,MATCH($CW149,$L$144:$L$158,0),MATCH(CY$145,$M$145:$Z$145,0))/INDEX(고양시_재차인원!$K$4:$O$20,MATCH("경기도",고양시_재차인원!$K$4:$K$20,0),MATCH(CY$145,고양시_재차인원!$K$4:$O$4,0))</f>
        <v>5.9514046443397161E-4</v>
      </c>
      <c r="CZ149" s="267">
        <f>INDEX($M$144:$Z$158,MATCH($CW149,$L$144:$L$158,0),MATCH(CZ$145,$M$145:$Z$145,0))/INDEX(고양시_재차인원!$K$4:$O$20,MATCH("경기도",고양시_재차인원!$K$4:$K$20,0),MATCH(CZ$145,고양시_재차인원!$K$4:$O$4,0))</f>
        <v>0.16544904911264408</v>
      </c>
      <c r="DA149" s="267">
        <f>INDEX($M$144:$Z$158,MATCH($CW149,$L$144:$L$158,0),MATCH(DA$145,$M$145:$Z$145,0))/INDEX(고양시_재차인원!$D$4:$H$35,MATCH("고양시",고양시_재차인원!$B$4:$B$35,0),MATCH($CX$144,고양시_재차인원!$D$4:$H$4,0))</f>
        <v>4.6200860529092145</v>
      </c>
      <c r="DB149" s="267">
        <f>INDEX($AA$144:$AN$158,MATCH($CW149,$L$144:$L$158,0),MATCH(DB$145,$AA$145:$AN$145,0))/INDEX(고양시_재차인원!$D$4:$H$35,MATCH("고양시",고양시_재차인원!$B$4:$B$35,0),MATCH($DB$144,고양시_재차인원!$D$4:$H$4,0))</f>
        <v>413.60698068519548</v>
      </c>
      <c r="DC149" s="267">
        <f>INDEX($AA$144:$AN$158,MATCH($CW149,$L$144:$L$158,0),MATCH(DC$145,$AA$145:$AN$145,0))/INDEX(고양시_재차인원!$K$4:$O$20,MATCH("경기도",고양시_재차인원!$K$4:$K$20,0),MATCH(DC$145,고양시_재차인원!$K$4:$O$4,0))</f>
        <v>4.3071532959579181E-3</v>
      </c>
      <c r="DD149" s="267">
        <f>INDEX($AA$144:$AN$158,MATCH($CW149,$L$144:$L$158,0),MATCH(DD$145,$AA$145:$AN$145,0))/INDEX(고양시_재차인원!$K$4:$O$20,MATCH("경기도",고양시_재차인원!$K$4:$K$20,0),MATCH(DD$145,고양시_재차인원!$K$4:$O$4,0))</f>
        <v>1.1973886162763008</v>
      </c>
      <c r="DE149" s="267">
        <f>INDEX($AA$144:$AN$158,MATCH($CW149,$L$144:$L$158,0),MATCH(DE$145,$AA$145:$AN$145,0))/INDEX(고양시_재차인원!$D$4:$H$35,MATCH("고양시",고양시_재차인원!$B$4:$B$35,0),MATCH($DB$144,고양시_재차인원!$D$4:$H$4,0))</f>
        <v>26.559495676574318</v>
      </c>
      <c r="DF149" s="267">
        <f>INDEX($AO$144:$BB$158,MATCH($CW149,$L$144:$L$158,0),MATCH(DF$145,$AO$145:$BB$145,0))/INDEX(고양시_재차인원!$D$4:$H$35,MATCH("고양시",고양시_재차인원!$B$4:$B$35,0),MATCH($DF$144,고양시_재차인원!$D$4:$H$4,0))</f>
        <v>25.735329456395871</v>
      </c>
      <c r="DG149" s="267">
        <f>INDEX($AO$144:$BB$158,MATCH($CW149,$L$144:$L$158,0),MATCH(DG$145,$AO$145:$BB$145,0))/INDEX(고양시_재차인원!$K$4:$O$20,MATCH("경기도",고양시_재차인원!$K$4:$K$20,0),MATCH(DG$145,고양시_재차인원!$K$4:$O$4,0))</f>
        <v>2.4709072348944191E-4</v>
      </c>
      <c r="DH149" s="267">
        <f>INDEX($AO$144:$BB$158,MATCH($CW149,$L$144:$L$158,0),MATCH(DH$145,$AO$145:$BB$145,0))/INDEX(고양시_재차인원!$K$4:$O$20,MATCH("경기도",고양시_재차인원!$K$4:$K$20,0),MATCH(DH$145,고양시_재차인원!$K$4:$O$4,0))</f>
        <v>6.8691221130064845E-2</v>
      </c>
      <c r="DI149" s="267">
        <f>INDEX($AO$144:$BB$158,MATCH($CW149,$L$144:$L$158,0),MATCH(DI$145,$AO$145:$BB$145,0))/INDEX(고양시_재차인원!$D$4:$H$35,MATCH("고양시",고양시_재차인원!$B$4:$B$35,0),MATCH($DF$144,고양시_재차인원!$D$4:$H$4,0))</f>
        <v>1.6525769712591014</v>
      </c>
      <c r="DJ149" s="267">
        <f>INDEX($BC$144:$BP$158,MATCH($CW149,$L$144:$L$158,0),MATCH(DJ$145,$BC$145:$BP$145,0))/INDEX(고양시_재차인원!$D$4:$H$35,MATCH("고양시",고양시_재차인원!$B$4:$B$35,0),MATCH($DJ$144,고양시_재차인원!$D$4:$H$4,0))</f>
        <v>3.8658900902822348E-2</v>
      </c>
      <c r="DK149" s="267">
        <f>INDEX($BC$144:$BP$158,MATCH($CW149,$L$144:$L$158,0),MATCH(DK$145,$BC$145:$BP$145,0))/INDEX(고양시_재차인원!$K$4:$O$20,MATCH("경기도",고양시_재차인원!$K$4:$K$20,0),MATCH(DK$145,고양시_재차인원!$K$4:$O$4,0))</f>
        <v>3.8830391328880177E-7</v>
      </c>
      <c r="DL149" s="267">
        <f>INDEX($BC$144:$BP$158,MATCH($CW149,$L$144:$L$158,0),MATCH(DL$145,$BC$145:$BP$145,0))/INDEX(고양시_재차인원!$K$4:$O$20,MATCH("경기도",고양시_재차인원!$K$4:$K$20,0),MATCH(DL$145,고양시_재차인원!$K$4:$O$4,0))</f>
        <v>1.0794848789428689E-4</v>
      </c>
      <c r="DM149" s="267">
        <f>INDEX($BC$144:$BP$158,MATCH($CW149,$L$144:$L$158,0),MATCH(DM$145,$BC$145:$BP$145,0))/INDEX(고양시_재차인원!$D$4:$H$35,MATCH("고양시",고양시_재차인원!$B$4:$B$35,0),MATCH($DJ$144,고양시_재차인원!$D$4:$H$4,0))</f>
        <v>2.4824554694136396E-3</v>
      </c>
      <c r="DN149" s="267">
        <f>INDEX($BQ$144:$CD$158,MATCH($CW149,$L$144:$L$158,0),MATCH(DN$145,$BQ$145:$CD$145,0))/INDEX(고양시_재차인원!$D$4:$H$35,MATCH("고양시",고양시_재차인원!$B$4:$B$35,0),MATCH($DN$144,고양시_재차인원!$D$4:$H$4,0))</f>
        <v>0.15763558886653536</v>
      </c>
      <c r="DO149" s="267">
        <f>INDEX($BQ$144:$CD$158,MATCH($CW149,$L$144:$L$158,0),MATCH(DO$145,$BQ$145:$CD$145,0))/INDEX(고양시_재차인원!$K$4:$O$20,MATCH("경기도",고양시_재차인원!$K$4:$K$20,0),MATCH(DO$145,고양시_재차인원!$K$4:$O$4,0))</f>
        <v>1.4669258946465894E-6</v>
      </c>
      <c r="DP149" s="267">
        <f>INDEX($BQ$144:$CD$158,MATCH($CW149,$L$144:$L$158,0),MATCH(DP$145,$BQ$145:$CD$145,0))/INDEX(고양시_재차인원!$K$4:$O$20,MATCH("경기도",고양시_재차인원!$K$4:$K$20,0),MATCH(DP$145,고양시_재차인원!$K$4:$O$4,0))</f>
        <v>4.0780539871175184E-4</v>
      </c>
      <c r="DQ149" s="267">
        <f>INDEX($BQ$144:$CD$158,MATCH($CW149,$L$144:$L$158,0),MATCH(DQ$145,$BQ$145:$CD$145,0))/INDEX(고양시_재차인원!$D$4:$H$35,MATCH("고양시",고양시_재차인원!$B$4:$B$35,0),MATCH($DN$144,고양시_재차인원!$D$4:$H$4,0))</f>
        <v>1.0122463924663764E-2</v>
      </c>
      <c r="DR149" s="270">
        <f t="shared" si="86"/>
        <v>511.48650101159922</v>
      </c>
      <c r="DS149" s="270">
        <f t="shared" si="77"/>
        <v>5.1512397136892676E-3</v>
      </c>
      <c r="DT149" s="270">
        <f t="shared" si="78"/>
        <v>1.4320446404056157</v>
      </c>
      <c r="DU149" s="270">
        <f t="shared" si="79"/>
        <v>32.844763620136717</v>
      </c>
      <c r="DW149" s="278"/>
      <c r="DX149" s="278" t="s">
        <v>671</v>
      </c>
      <c r="DY149" s="281">
        <f t="shared" si="87"/>
        <v>544.33126463173596</v>
      </c>
      <c r="DZ149" s="281">
        <f t="shared" si="88"/>
        <v>1.437195880119305</v>
      </c>
      <c r="EB149" s="278"/>
      <c r="EC149" s="278" t="s">
        <v>671</v>
      </c>
      <c r="ED149" s="281">
        <f t="shared" si="89"/>
        <v>544.33126463173596</v>
      </c>
      <c r="EE149" s="281">
        <f t="shared" si="80"/>
        <v>1.437195880119305</v>
      </c>
      <c r="EL149" s="306" t="s">
        <v>12</v>
      </c>
      <c r="EM149" s="306" t="s">
        <v>360</v>
      </c>
      <c r="EN149" s="306">
        <v>6559.1377000000002</v>
      </c>
      <c r="EO149" s="306">
        <v>9.7934096505675777E-2</v>
      </c>
      <c r="EP149" s="307">
        <v>849104</v>
      </c>
      <c r="EQ149" s="308">
        <f t="shared" si="90"/>
        <v>20.251944968353538</v>
      </c>
      <c r="ER149" s="308">
        <f t="shared" si="91"/>
        <v>5.34711374563651E-2</v>
      </c>
      <c r="ET149" s="420" t="s">
        <v>12</v>
      </c>
      <c r="EU149" s="420" t="s">
        <v>360</v>
      </c>
      <c r="EV149" s="420">
        <v>6559.1377000000002</v>
      </c>
      <c r="EW149" s="420">
        <v>9.7934096505675777E-2</v>
      </c>
      <c r="EX149" s="421">
        <v>849104</v>
      </c>
      <c r="EY149" s="422">
        <f t="shared" si="92"/>
        <v>19.674764536755461</v>
      </c>
      <c r="EZ149" s="422">
        <f t="shared" si="81"/>
        <v>5.1947210038858695E-2</v>
      </c>
      <c r="FA149">
        <v>0</v>
      </c>
      <c r="FD149" s="306" t="s">
        <v>12</v>
      </c>
      <c r="FE149" s="306" t="s">
        <v>360</v>
      </c>
      <c r="FF149" s="306">
        <v>6559.1377000000002</v>
      </c>
      <c r="FG149" s="306">
        <v>9.7934096505675777E-2</v>
      </c>
      <c r="FH149" s="307">
        <v>849104</v>
      </c>
      <c r="FI149" s="308">
        <f t="shared" si="82"/>
        <v>19.674764536755461</v>
      </c>
      <c r="FJ149" s="308">
        <f t="shared" si="83"/>
        <v>5.1947210038858695E-2</v>
      </c>
      <c r="FL149" s="101"/>
      <c r="FM149" s="101"/>
      <c r="FN149" s="101"/>
      <c r="FO149" s="101"/>
      <c r="FP149" s="374"/>
      <c r="FQ149" s="404"/>
      <c r="FR149" s="404"/>
    </row>
    <row r="150" spans="1:174" ht="25">
      <c r="A150" s="205"/>
      <c r="B150" s="205" t="s">
        <v>673</v>
      </c>
      <c r="C150" s="400">
        <f>$AB65*KTDB_TripDistribution_2035!T$12 * (1+KTDB_발생량도착량_증가율!$C$7*2) * (1+KTDB_발생량도착량_증가율!$D$8*5)* (1+KTDB_발생량도착량_증가율!$E$8*5)</f>
        <v>299.87717566588168</v>
      </c>
      <c r="D150" s="400">
        <f>$AB65*KTDB_TripDistribution_2035!U$12 * (1+KTDB_발생량도착량_증가율!$C$7*2) * (1+KTDB_발생량도착량_증가율!$D$8*5)* (1+KTDB_발생량도착량_증가율!$E$8*5)</f>
        <v>2170.2724696770351</v>
      </c>
      <c r="E150" s="400">
        <f>$AB65*KTDB_TripDistribution_2035!V$12 * (1+KTDB_발생량도착량_증가율!$C$7*2) * (1+KTDB_발생량도착량_증가율!$D$8*5)* (1+KTDB_발생량도착량_증가율!$E$8*5)</f>
        <v>124.50315970991066</v>
      </c>
      <c r="F150" s="400">
        <f>$AB65*KTDB_TripDistribution_2035!W$12 * (1+KTDB_발생량도착량_증가율!$C$7*2) * (1+KTDB_발생량도착량_증가율!$D$8*5)* (1+KTDB_발생량도착량_증가율!$E$8*5)</f>
        <v>0.19565713940792587</v>
      </c>
      <c r="G150" s="400">
        <f>$AB65*KTDB_TripDistribution_2035!X$12 * (1+KTDB_발생량도착량_증가율!$C$7*2) * (1+KTDB_발생량도착량_증가율!$D$8*5)* (1+KTDB_발생량도착량_증가율!$E$8*5)</f>
        <v>0.73914919331883322</v>
      </c>
      <c r="H150" s="400">
        <f>$AB65*KTDB_TripDistribution_2035!Y$12 * (1+KTDB_발생량도착량_증가율!$C$7*2) * (1+KTDB_발생량도착량_증가율!$D$8*5)* (1+KTDB_발생량도착량_증가율!$E$8*5)</f>
        <v>2595.5876113855552</v>
      </c>
      <c r="J150" s="230">
        <f t="shared" si="63"/>
        <v>2595.5876113855543</v>
      </c>
      <c r="K150" s="206"/>
      <c r="L150" s="206" t="s">
        <v>673</v>
      </c>
      <c r="M150" s="206">
        <f>INDEX($A$145:$H$158,MATCH($L150,$B$145:$B$158,0),MATCH($M$144,$A$145:$H$145,0))*고양시_Modal_split!C$3 * 0.01</f>
        <v>0.83965609186446855</v>
      </c>
      <c r="N150" s="206">
        <f>INDEX($A$145:$H$158,MATCH($L150,$B$145:$B$158,0),MATCH($M$144,$A$145:$H$145,0))*고양시_Modal_split!D$3 * 0.01</f>
        <v>141.03223571566417</v>
      </c>
      <c r="O150" s="206">
        <f>INDEX($A$145:$H$158,MATCH($L150,$B$145:$B$158,0),MATCH($M$144,$A$145:$H$145,0))*고양시_Modal_split!E$3 * 0.01</f>
        <v>17.063011295388666</v>
      </c>
      <c r="P150" s="206">
        <f>INDEX($A$145:$H$158,MATCH($L150,$B$145:$B$158,0),MATCH($M$144,$A$145:$H$145,0))*고양시_Modal_split!F$3 * 0.01</f>
        <v>27.498737008561353</v>
      </c>
      <c r="Q150" s="206">
        <f>INDEX($A$145:$H$158,MATCH($L150,$B$145:$B$158,0),MATCH($M$144,$A$145:$H$145,0))*고양시_Modal_split!G$3 * 0.01</f>
        <v>2.7588700161261115</v>
      </c>
      <c r="R150" s="206">
        <f>INDEX($A$145:$H$158,MATCH($L150,$B$145:$B$158,0),MATCH($M$144,$A$145:$H$145,0))*고양시_Modal_split!H$3 * 0.01</f>
        <v>2.9987717566588169E-2</v>
      </c>
      <c r="S150" s="206">
        <f>INDEX($A$145:$H$158,MATCH($L150,$B$145:$B$158,0),MATCH($M$144,$A$145:$H$145,0))*고양시_Modal_split!I$3 * 0.01</f>
        <v>8.3365854835115094</v>
      </c>
      <c r="T150" s="206">
        <f>INDEX($A$145:$H$158,MATCH($L150,$B$145:$B$158,0),MATCH($M$144,$A$145:$H$145,0))*고양시_Modal_split!J$3 * 0.01</f>
        <v>91.282612272694394</v>
      </c>
      <c r="U150" s="206">
        <f>INDEX($A$145:$H$158,MATCH($L150,$B$145:$B$158,0),MATCH($M$144,$A$145:$H$145,0))*고양시_Modal_split!K$3 * 0.01</f>
        <v>0.44981576349882252</v>
      </c>
      <c r="V150" s="206">
        <f>INDEX($A$145:$H$158,MATCH($L150,$B$145:$B$158,0),MATCH($M$144,$A$145:$H$145,0))*고양시_Modal_split!L$3 * 0.01</f>
        <v>9.0562907051096282</v>
      </c>
      <c r="W150" s="206">
        <f>INDEX($A$145:$H$158,MATCH($L150,$B$145:$B$158,0),MATCH($M$144,$A$145:$H$145,0))*고양시_Modal_split!M$3 * 0.01</f>
        <v>0.68971750403152787</v>
      </c>
      <c r="X150" s="206">
        <f>INDEX($A$145:$H$158,MATCH($L150,$B$145:$B$158,0),MATCH($M$144,$A$145:$H$145,0))*고양시_Modal_split!N$3 * 0.01</f>
        <v>0.29987717566588173</v>
      </c>
      <c r="Y150" s="206">
        <f>INDEX($A$145:$H$158,MATCH($L150,$B$145:$B$158,0),MATCH($M$144,$A$145:$H$145,0))*고양시_Modal_split!O$3 * 0.01</f>
        <v>0.53977891619858709</v>
      </c>
      <c r="Z150" s="209">
        <f>INDEX($A$145:$H$158,MATCH($L150,$B$145:$B$158,0),MATCH($M$144,$A$145:$H$145,0))*고양시_Modal_split!P$3 * 0.01</f>
        <v>299.87717566588168</v>
      </c>
      <c r="AA150" s="207">
        <f>INDEX($A$145:$H$158,MATCH($L150,$B$145:$B$158,0),MATCH($AA$144,$A$145:$H$145,0))*고양시_Modal_split!C$3 * 0.01</f>
        <v>6.0767629150956974</v>
      </c>
      <c r="AB150" s="207">
        <f>INDEX($A$145:$H$158,MATCH($L150,$B$145:$B$158,0),MATCH($AA$144,$A$145:$H$145,0))*고양시_Modal_split!D$3 * 0.01</f>
        <v>1020.6791424891097</v>
      </c>
      <c r="AC150" s="207">
        <f>INDEX($A$145:$H$158,MATCH($L150,$B$145:$B$158,0),MATCH($AA$144,$A$145:$H$145,0))*고양시_Modal_split!E$3 * 0.01</f>
        <v>123.48850352462328</v>
      </c>
      <c r="AD150" s="207">
        <f>INDEX($A$145:$H$158,MATCH($L150,$B$145:$B$158,0),MATCH($AA$144,$A$145:$H$145,0))*고양시_Modal_split!F$3 * 0.01</f>
        <v>199.01398546938412</v>
      </c>
      <c r="AE150" s="207">
        <f>INDEX($A$145:$H$158,MATCH($L150,$B$145:$B$158,0),MATCH($AA$144,$A$145:$H$145,0))*고양시_Modal_split!G$3 * 0.01</f>
        <v>19.966506721028722</v>
      </c>
      <c r="AF150" s="207">
        <f>INDEX($A$145:$H$158,MATCH($L150,$B$145:$B$158,0),MATCH($AA$144,$A$145:$H$145,0))*고양시_Modal_split!H$3 * 0.01</f>
        <v>0.21702724696770354</v>
      </c>
      <c r="AG150" s="207">
        <f>INDEX($A$145:$H$158,MATCH($L150,$B$145:$B$158,0),MATCH($AA$144,$A$145:$H$145,0))*고양시_Modal_split!I$3 * 0.01</f>
        <v>60.333574657021572</v>
      </c>
      <c r="AH150" s="207">
        <f>INDEX($A$145:$H$158,MATCH($L150,$B$145:$B$158,0),MATCH($AA$144,$A$145:$H$145,0))*고양시_Modal_split!J$3 * 0.01</f>
        <v>660.63093976968958</v>
      </c>
      <c r="AI150" s="207">
        <f>INDEX($A$145:$H$158,MATCH($L150,$B$145:$B$158,0),MATCH($AA$144,$A$145:$H$145,0))*고양시_Modal_split!K$3 * 0.01</f>
        <v>3.2554087045155526</v>
      </c>
      <c r="AJ150" s="207">
        <f>INDEX($A$145:$H$158,MATCH($L150,$B$145:$B$158,0),MATCH($AA$144,$A$145:$H$145,0))*고양시_Modal_split!L$3 * 0.01</f>
        <v>65.542228584246459</v>
      </c>
      <c r="AK150" s="207">
        <f>INDEX($A$145:$H$158,MATCH($L150,$B$145:$B$158,0),MATCH($AA$144,$A$145:$H$145,0))*고양시_Modal_split!M$3 * 0.01</f>
        <v>4.9916266802571805</v>
      </c>
      <c r="AL150" s="207">
        <f>INDEX($A$145:$H$158,MATCH($L150,$B$145:$B$158,0),MATCH($AA$144,$A$145:$H$145,0))*고양시_Modal_split!N$3 * 0.01</f>
        <v>2.1702724696770352</v>
      </c>
      <c r="AM150" s="207">
        <f>INDEX($A$145:$H$158,MATCH($L150,$B$145:$B$158,0),MATCH($AA$144,$A$145:$H$145,0))*고양시_Modal_split!O$3 * 0.01</f>
        <v>3.9064904454186631</v>
      </c>
      <c r="AN150" s="207">
        <f>INDEX($A$145:$H$158,MATCH($L150,$B$145:$B$158,0),MATCH($AA$144,$A$145:$H$145,0))*고양시_Modal_split!P$3 * 0.01</f>
        <v>2170.2724696770351</v>
      </c>
      <c r="AO150" s="303">
        <f>INDEX($A$145:$H$158,MATCH($L150,$B$145:$B$158,0),MATCH($AO$144,$A$145:$H$145,0))*고양시_Modal_split!C$3 * 0.01</f>
        <v>0.34860884718774982</v>
      </c>
      <c r="AP150" s="303">
        <f>INDEX($A$145:$H$158,MATCH($L150,$B$145:$B$158,0),MATCH($AO$144,$A$145:$H$145,0))*고양시_Modal_split!D$3 * 0.01</f>
        <v>58.553836011570986</v>
      </c>
      <c r="AQ150" s="303">
        <f>INDEX($A$145:$H$158,MATCH($L150,$B$145:$B$158,0),MATCH($AO$144,$A$145:$H$145,0))*고양시_Modal_split!E$3 * 0.01</f>
        <v>7.0842297874939169</v>
      </c>
      <c r="AR150" s="303">
        <f>INDEX($A$145:$H$158,MATCH($L150,$B$145:$B$158,0),MATCH($AO$144,$A$145:$H$145,0))*고양시_Modal_split!F$3 * 0.01</f>
        <v>11.416939745398809</v>
      </c>
      <c r="AS150" s="303">
        <f>INDEX($A$145:$H$158,MATCH($L150,$B$145:$B$158,0),MATCH($AO$144,$A$145:$H$145,0))*고양시_Modal_split!G$3 * 0.01</f>
        <v>1.1454290693311782</v>
      </c>
      <c r="AT150" s="303">
        <f>INDEX($A$145:$H$158,MATCH($L150,$B$145:$B$158,0),MATCH($AO$144,$A$145:$H$145,0))*고양시_Modal_split!H$3 * 0.01</f>
        <v>1.2450315970991067E-2</v>
      </c>
      <c r="AU150" s="303">
        <f>INDEX($A$145:$H$158,MATCH($L150,$B$145:$B$158,0),MATCH($AO$144,$A$145:$H$145,0))*고양시_Modal_split!I$3 * 0.01</f>
        <v>3.4611878399355165</v>
      </c>
      <c r="AV150" s="303">
        <f>INDEX($A$145:$H$158,MATCH($L150,$B$145:$B$158,0),MATCH($AO$144,$A$145:$H$145,0))*고양시_Modal_split!J$3 * 0.01</f>
        <v>37.898761815696808</v>
      </c>
      <c r="AW150" s="303">
        <f>INDEX($A$145:$H$158,MATCH($L150,$B$145:$B$158,0),MATCH($AO$144,$A$145:$H$145,0))*고양시_Modal_split!K$3 * 0.01</f>
        <v>0.18675473956486599</v>
      </c>
      <c r="AX150" s="303">
        <f>INDEX($A$145:$H$158,MATCH($L150,$B$145:$B$158,0),MATCH($AO$144,$A$145:$H$145,0))*고양시_Modal_split!L$3 * 0.01</f>
        <v>3.7599954232393022</v>
      </c>
      <c r="AY150" s="303">
        <f>INDEX($A$145:$H$158,MATCH($L150,$B$145:$B$158,0),MATCH($AO$144,$A$145:$H$145,0))*고양시_Modal_split!M$3 * 0.01</f>
        <v>0.28635726733279454</v>
      </c>
      <c r="AZ150" s="303">
        <f>INDEX($A$145:$H$158,MATCH($L150,$B$145:$B$158,0),MATCH($AO$144,$A$145:$H$145,0))*고양시_Modal_split!N$3 * 0.01</f>
        <v>0.12450315970991067</v>
      </c>
      <c r="BA150" s="207">
        <f>INDEX($A$145:$H$158,MATCH($L150,$B$145:$B$158,0),MATCH($AO$144,$A$145:$H$145,0))*고양시_Modal_split!O$3 * 0.01</f>
        <v>0.22410568747783921</v>
      </c>
      <c r="BB150" s="207">
        <f>INDEX($A$145:$H$158,MATCH($L150,$B$145:$B$158,0),MATCH($AO$144,$A$145:$H$145,0))*고양시_Modal_split!P$3 * 0.01</f>
        <v>124.50315970991068</v>
      </c>
      <c r="BC150" s="207">
        <f>INDEX($A$145:$H$158,MATCH($L150,$B$145:$B$158,0),MATCH($BC$144,$A$145:$H$145,0))*고양시_Modal_split!C$3 * 0.01</f>
        <v>5.4783999034219242E-4</v>
      </c>
      <c r="BD150" s="207">
        <f>INDEX($A$145:$H$158,MATCH($L150,$B$145:$B$158,0),MATCH($BC$144,$A$145:$H$145,0))*고양시_Modal_split!D$3 * 0.01</f>
        <v>9.2017552663547539E-2</v>
      </c>
      <c r="BE150" s="207">
        <f>INDEX($A$145:$H$158,MATCH($L150,$B$145:$B$158,0),MATCH($BC$144,$A$145:$H$145,0))*고양시_Modal_split!E$3 * 0.01</f>
        <v>1.1132891232310982E-2</v>
      </c>
      <c r="BF150" s="207">
        <f>INDEX($A$145:$H$158,MATCH($L150,$B$145:$B$158,0),MATCH($BC$144,$A$145:$H$145,0))*고양시_Modal_split!F$3 * 0.01</f>
        <v>1.7941759683706801E-2</v>
      </c>
      <c r="BG150" s="207">
        <f>INDEX($A$145:$H$158,MATCH($L150,$B$145:$B$158,0),MATCH($BC$144,$A$145:$H$145,0))*고양시_Modal_split!G$3 * 0.01</f>
        <v>1.8000456825529179E-3</v>
      </c>
      <c r="BH150" s="207">
        <f>INDEX($A$145:$H$158,MATCH($L150,$B$145:$B$158,0),MATCH($BC$144,$A$145:$H$145,0))*고양시_Modal_split!H$3 * 0.01</f>
        <v>1.9565713940792586E-5</v>
      </c>
      <c r="BI150" s="207">
        <f>INDEX($A$145:$H$158,MATCH($L150,$B$145:$B$158,0),MATCH($BC$144,$A$145:$H$145,0))*고양시_Modal_split!I$3 * 0.01</f>
        <v>5.4392684755403386E-3</v>
      </c>
      <c r="BJ150" s="207">
        <f>INDEX($A$145:$H$158,MATCH($L150,$B$145:$B$158,0),MATCH($BC$144,$A$145:$H$145,0))*고양시_Modal_split!J$3 * 0.01</f>
        <v>5.9558033235772641E-2</v>
      </c>
      <c r="BK150" s="207">
        <f>INDEX($A$145:$H$158,MATCH($L150,$B$145:$B$158,0),MATCH($BC$144,$A$145:$H$145,0))*고양시_Modal_split!K$3 * 0.01</f>
        <v>2.934857091118888E-4</v>
      </c>
      <c r="BL150" s="207">
        <f>INDEX($A$145:$H$158,MATCH($L150,$B$145:$B$158,0),MATCH($BC$144,$A$145:$H$145,0))*고양시_Modal_split!L$3 * 0.01</f>
        <v>5.9088456101193607E-3</v>
      </c>
      <c r="BM150" s="207">
        <f>INDEX($A$145:$H$158,MATCH($L150,$B$145:$B$158,0),MATCH($BC$144,$A$145:$H$145,0))*고양시_Modal_split!M$3 * 0.01</f>
        <v>4.5001142063822949E-4</v>
      </c>
      <c r="BN150" s="207">
        <f>INDEX($A$145:$H$158,MATCH($L150,$B$145:$B$158,0),MATCH($BC$144,$A$145:$H$145,0))*고양시_Modal_split!N$3 * 0.01</f>
        <v>1.9565713940792589E-4</v>
      </c>
      <c r="BO150" s="207">
        <f>INDEX($A$145:$H$158,MATCH($L150,$B$145:$B$158,0),MATCH($BC$144,$A$145:$H$145,0))*고양시_Modal_split!O$3 * 0.01</f>
        <v>3.5218285093426656E-4</v>
      </c>
      <c r="BP150" s="207">
        <f>INDEX($A$145:$H$158,MATCH($L150,$B$145:$B$158,0),MATCH($BC$144,$A$145:$H$145,0))*고양시_Modal_split!P$3 * 0.01</f>
        <v>0.19565713940792587</v>
      </c>
      <c r="BQ150" s="207">
        <f>INDEX($A$145:$H$158,MATCH($L150,$B$145:$B$158,0),MATCH($BQ$144,$A$145:$H$145,0))*고양시_Modal_split!C$3 * 0.01</f>
        <v>2.0696177412927327E-3</v>
      </c>
      <c r="BR150" s="207">
        <f>INDEX($A$145:$H$158,MATCH($L150,$B$145:$B$158,0),MATCH($BQ$144,$A$145:$H$145,0))*고양시_Modal_split!D$3 * 0.01</f>
        <v>0.3476218656178473</v>
      </c>
      <c r="BS150" s="207">
        <f>INDEX($A$145:$H$158,MATCH($L150,$B$145:$B$158,0),MATCH($BQ$144,$A$145:$H$145,0))*고양시_Modal_split!E$3 * 0.01</f>
        <v>4.2057589099841607E-2</v>
      </c>
      <c r="BT150" s="207">
        <f>INDEX($A$145:$H$158,MATCH($L150,$B$145:$B$158,0),MATCH($BQ$144,$A$145:$H$145,0))*고양시_Modal_split!F$3 * 0.01</f>
        <v>6.7779981027337011E-2</v>
      </c>
      <c r="BU150" s="207">
        <f>INDEX($A$145:$H$158,MATCH($L150,$B$145:$B$158,0),MATCH($BQ$144,$A$145:$H$145,0))*고양시_Modal_split!G$3 * 0.01</f>
        <v>6.8001725785332657E-3</v>
      </c>
      <c r="BV150" s="207">
        <f>INDEX($A$145:$H$158,MATCH($L150,$B$145:$B$158,0),MATCH($BQ$144,$A$145:$H$145,0))*고양시_Modal_split!H$3 * 0.01</f>
        <v>7.3914919331883323E-5</v>
      </c>
      <c r="BW150" s="207">
        <f>INDEX($A$145:$H$158,MATCH($L150,$B$145:$B$158,0),MATCH($BQ$144,$A$145:$H$145,0))*고양시_Modal_split!I$3 * 0.01</f>
        <v>2.0548347574263565E-2</v>
      </c>
      <c r="BX150" s="207">
        <f>INDEX($A$145:$H$158,MATCH($L150,$B$145:$B$158,0),MATCH($BQ$144,$A$145:$H$145,0))*고양시_Modal_split!J$3 * 0.01</f>
        <v>0.22499701444625284</v>
      </c>
      <c r="BY150" s="207">
        <f>INDEX($A$145:$H$158,MATCH($L150,$B$145:$B$158,0),MATCH($BQ$144,$A$145:$H$145,0))*고양시_Modal_split!K$3 * 0.01</f>
        <v>1.10872378997825E-3</v>
      </c>
      <c r="BZ150" s="207">
        <f>INDEX($A$145:$H$158,MATCH($L150,$B$145:$B$158,0),MATCH($BQ$144,$A$145:$H$145,0))*고양시_Modal_split!L$3 * 0.01</f>
        <v>2.2322305638228762E-2</v>
      </c>
      <c r="CA150" s="207">
        <f>INDEX($A$145:$H$158,MATCH($L150,$B$145:$B$158,0),MATCH($BQ$144,$A$145:$H$145,0))*고양시_Modal_split!M$3 * 0.01</f>
        <v>1.7000431446333164E-3</v>
      </c>
      <c r="CB150" s="207">
        <f>INDEX($A$145:$H$158,MATCH($L150,$B$145:$B$158,0),MATCH($BQ$144,$A$145:$H$145,0))*고양시_Modal_split!N$3 * 0.01</f>
        <v>7.391491933188332E-4</v>
      </c>
      <c r="CC150" s="207">
        <f>INDEX($A$145:$H$158,MATCH($L150,$B$145:$B$158,0),MATCH($BQ$144,$A$145:$H$145,0))*고양시_Modal_split!O$3 * 0.01</f>
        <v>1.3304685479738998E-3</v>
      </c>
      <c r="CD150" s="207">
        <f>INDEX($A$145:$H$158,MATCH($L150,$B$145:$B$158,0),MATCH($BQ$144,$A$145:$H$145,0))*고양시_Modal_split!P$3 * 0.01</f>
        <v>0.73914919331883322</v>
      </c>
      <c r="CE150" s="304">
        <f t="shared" si="84"/>
        <v>7.2676453118795505</v>
      </c>
      <c r="CF150" s="304">
        <f t="shared" si="64"/>
        <v>1220.7048536346263</v>
      </c>
      <c r="CG150" s="304">
        <f t="shared" si="65"/>
        <v>147.68893508783802</v>
      </c>
      <c r="CH150" s="304">
        <f t="shared" si="66"/>
        <v>238.01538396405536</v>
      </c>
      <c r="CI150" s="304">
        <f t="shared" si="67"/>
        <v>23.879406024747098</v>
      </c>
      <c r="CJ150" s="304">
        <f t="shared" si="68"/>
        <v>0.25955876113855547</v>
      </c>
      <c r="CK150" s="304">
        <f t="shared" si="69"/>
        <v>72.157335596518408</v>
      </c>
      <c r="CL150" s="304">
        <f t="shared" si="70"/>
        <v>790.0968689057629</v>
      </c>
      <c r="CM150" s="304">
        <f t="shared" si="71"/>
        <v>3.8933814170783307</v>
      </c>
      <c r="CN150" s="304">
        <f t="shared" si="72"/>
        <v>78.386745863843743</v>
      </c>
      <c r="CO150" s="304">
        <f t="shared" si="73"/>
        <v>5.9698515061867745</v>
      </c>
      <c r="CP150" s="304">
        <f t="shared" si="74"/>
        <v>2.5955876113855547</v>
      </c>
      <c r="CQ150" s="304">
        <f t="shared" si="75"/>
        <v>4.6720577004939967</v>
      </c>
      <c r="CR150" s="304">
        <f t="shared" si="76"/>
        <v>2595.5876113855543</v>
      </c>
      <c r="CS150" s="305">
        <f t="shared" si="85"/>
        <v>0</v>
      </c>
      <c r="CV150" s="265"/>
      <c r="CW150" s="265" t="s">
        <v>673</v>
      </c>
      <c r="CX150" s="267">
        <f>INDEX($M$144:$Z$158,MATCH($CW150,$L$144:$L$158,0),MATCH(CX$145,$M$145:$Z$145,0))/INDEX(고양시_재차인원!$D$4:$H$35,MATCH("고양시",고양시_재차인원!$B$4:$B$35,0),MATCH($CX$144,고양시_재차인원!$D$4:$H$4,0))</f>
        <v>125.921639031843</v>
      </c>
      <c r="CY150" s="267">
        <f>INDEX($M$144:$Z$158,MATCH($CW150,$L$144:$L$158,0),MATCH(CY$145,$M$145:$Z$145,0))/INDEX(고양시_재차인원!$K$4:$O$20,MATCH("경기도",고양시_재차인원!$K$4:$K$20,0),MATCH(CY$145,고양시_재차인원!$K$4:$O$4,0))</f>
        <v>1.0416018605970189E-3</v>
      </c>
      <c r="CZ150" s="267">
        <f>INDEX($M$144:$Z$158,MATCH($CW150,$L$144:$L$158,0),MATCH(CZ$145,$M$145:$Z$145,0))/INDEX(고양시_재차인원!$K$4:$O$20,MATCH("경기도",고양시_재차인원!$K$4:$K$20,0),MATCH(CZ$145,고양시_재차인원!$K$4:$O$4,0))</f>
        <v>0.28956531724597118</v>
      </c>
      <c r="DA150" s="267">
        <f>INDEX($M$144:$Z$158,MATCH($CW150,$L$144:$L$158,0),MATCH(DA$145,$M$145:$Z$145,0))/INDEX(고양시_재차인원!$D$4:$H$35,MATCH("고양시",고양시_재차인원!$B$4:$B$35,0),MATCH($CX$144,고양시_재차인원!$D$4:$H$4,0))</f>
        <v>8.0859738438478814</v>
      </c>
      <c r="DB150" s="267">
        <f>INDEX($AA$144:$AN$158,MATCH($CW150,$L$144:$L$158,0),MATCH(DB$145,$AA$145:$AN$145,0))/INDEX(고양시_재차인원!$D$4:$H$35,MATCH("고양시",고양시_재차인원!$B$4:$B$35,0),MATCH($DB$144,고양시_재차인원!$D$4:$H$4,0))</f>
        <v>723.88591665894307</v>
      </c>
      <c r="DC150" s="267">
        <f>INDEX($AA$144:$AN$158,MATCH($CW150,$L$144:$L$158,0),MATCH(DC$145,$AA$145:$AN$145,0))/INDEX(고양시_재차인원!$K$4:$O$20,MATCH("경기도",고양시_재차인원!$K$4:$K$20,0),MATCH(DC$145,고양시_재차인원!$K$4:$O$4,0))</f>
        <v>7.5382857578222837E-3</v>
      </c>
      <c r="DD150" s="267">
        <f>INDEX($AA$144:$AN$158,MATCH($CW150,$L$144:$L$158,0),MATCH(DD$145,$AA$145:$AN$145,0))/INDEX(고양시_재차인원!$K$4:$O$20,MATCH("경기도",고양시_재차인원!$K$4:$K$20,0),MATCH(DD$145,고양시_재차인원!$K$4:$O$4,0))</f>
        <v>2.0956434406745945</v>
      </c>
      <c r="DE150" s="267">
        <f>INDEX($AA$144:$AN$158,MATCH($CW150,$L$144:$L$158,0),MATCH(DE$145,$AA$145:$AN$145,0))/INDEX(고양시_재차인원!$D$4:$H$35,MATCH("고양시",고양시_재차인원!$B$4:$B$35,0),MATCH($DB$144,고양시_재차인원!$D$4:$H$4,0))</f>
        <v>46.483850059749265</v>
      </c>
      <c r="DF150" s="267">
        <f>INDEX($AO$144:$BB$158,MATCH($CW150,$L$144:$L$158,0),MATCH(DF$145,$AO$145:$BB$145,0))/INDEX(고양시_재차인원!$D$4:$H$35,MATCH("고양시",고양시_재차인원!$B$4:$B$35,0),MATCH($DF$144,고양시_재차인원!$D$4:$H$4,0))</f>
        <v>45.041412316593068</v>
      </c>
      <c r="DG150" s="267">
        <f>INDEX($AO$144:$BB$158,MATCH($CW150,$L$144:$L$158,0),MATCH(DG$145,$AO$145:$BB$145,0))/INDEX(고양시_재차인원!$K$4:$O$20,MATCH("경기도",고양시_재차인원!$K$4:$K$20,0),MATCH(DG$145,고양시_재차인원!$K$4:$O$4,0))</f>
        <v>4.3245279510215588E-4</v>
      </c>
      <c r="DH150" s="267">
        <f>INDEX($AO$144:$BB$158,MATCH($CW150,$L$144:$L$158,0),MATCH(DH$145,$AO$145:$BB$145,0))/INDEX(고양시_재차인원!$K$4:$O$20,MATCH("경기도",고양시_재차인원!$K$4:$K$20,0),MATCH(DH$145,고양시_재차인원!$K$4:$O$4,0))</f>
        <v>0.12022187703839933</v>
      </c>
      <c r="DI150" s="267">
        <f>INDEX($AO$144:$BB$158,MATCH($CW150,$L$144:$L$158,0),MATCH(DI$145,$AO$145:$BB$145,0))/INDEX(고양시_재차인원!$D$4:$H$35,MATCH("고양시",고양시_재차인원!$B$4:$B$35,0),MATCH($DF$144,고양시_재차인원!$D$4:$H$4,0))</f>
        <v>2.89230417172254</v>
      </c>
      <c r="DJ150" s="267">
        <f>INDEX($BC$144:$BP$158,MATCH($CW150,$L$144:$L$158,0),MATCH(DJ$145,$BC$145:$BP$145,0))/INDEX(고양시_재차인원!$D$4:$H$35,MATCH("고양시",고양시_재차인원!$B$4:$B$35,0),MATCH($DJ$144,고양시_재차인원!$D$4:$H$4,0))</f>
        <v>6.7659965193784949E-2</v>
      </c>
      <c r="DK150" s="267">
        <f>INDEX($BC$144:$BP$158,MATCH($CW150,$L$144:$L$158,0),MATCH(DK$145,$BC$145:$BP$145,0))/INDEX(고양시_재차인원!$K$4:$O$20,MATCH("경기도",고양시_재차인원!$K$4:$K$20,0),MATCH(DK$145,고양시_재차인원!$K$4:$O$4,0))</f>
        <v>6.7960103997195504E-7</v>
      </c>
      <c r="DL150" s="267">
        <f>INDEX($BC$144:$BP$158,MATCH($CW150,$L$144:$L$158,0),MATCH(DL$145,$BC$145:$BP$145,0))/INDEX(고양시_재차인원!$K$4:$O$20,MATCH("경기도",고양시_재차인원!$K$4:$K$20,0),MATCH(DL$145,고양시_재차인원!$K$4:$O$4,0))</f>
        <v>1.8892908911220349E-4</v>
      </c>
      <c r="DM150" s="267">
        <f>INDEX($BC$144:$BP$158,MATCH($CW150,$L$144:$L$158,0),MATCH(DM$145,$BC$145:$BP$145,0))/INDEX(고양시_재차인원!$D$4:$H$35,MATCH("고양시",고양시_재차인원!$B$4:$B$35,0),MATCH($DJ$144,고양시_재차인원!$D$4:$H$4,0))</f>
        <v>4.3447394192054119E-3</v>
      </c>
      <c r="DN150" s="267">
        <f>INDEX($BQ$144:$CD$158,MATCH($CW150,$L$144:$L$158,0),MATCH(DN$145,$BQ$145:$CD$145,0))/INDEX(고양시_재차인원!$D$4:$H$35,MATCH("고양시",고양시_재차인원!$B$4:$B$35,0),MATCH($DN$144,고양시_재차인원!$D$4:$H$4,0))</f>
        <v>0.27589036953797402</v>
      </c>
      <c r="DO150" s="267">
        <f>INDEX($BQ$144:$CD$158,MATCH($CW150,$L$144:$L$158,0),MATCH(DO$145,$BQ$145:$CD$145,0))/INDEX(고양시_재차인원!$K$4:$O$20,MATCH("경기도",고양시_재차인원!$K$4:$K$20,0),MATCH(DO$145,고양시_재차인원!$K$4:$O$4,0))</f>
        <v>2.5673817065607266E-6</v>
      </c>
      <c r="DP150" s="267">
        <f>INDEX($BQ$144:$CD$158,MATCH($CW150,$L$144:$L$158,0),MATCH(DP$145,$BQ$145:$CD$145,0))/INDEX(고양시_재차인원!$K$4:$O$20,MATCH("경기도",고양시_재차인원!$K$4:$K$20,0),MATCH(DP$145,고양시_재차인원!$K$4:$O$4,0))</f>
        <v>7.1373211442388206E-4</v>
      </c>
      <c r="DQ150" s="267">
        <f>INDEX($BQ$144:$CD$158,MATCH($CW150,$L$144:$L$158,0),MATCH(DQ$145,$BQ$145:$CD$145,0))/INDEX(고양시_재차인원!$D$4:$H$35,MATCH("고양시",고양시_재차인원!$B$4:$B$35,0),MATCH($DN$144,고양시_재차인원!$D$4:$H$4,0))</f>
        <v>1.7716115585895843E-2</v>
      </c>
      <c r="DR150" s="270">
        <f t="shared" si="86"/>
        <v>895.19251834211093</v>
      </c>
      <c r="DS150" s="270">
        <f t="shared" si="77"/>
        <v>9.0155873962679909E-3</v>
      </c>
      <c r="DT150" s="270">
        <f t="shared" si="78"/>
        <v>2.5063332961625013</v>
      </c>
      <c r="DU150" s="270">
        <f t="shared" si="79"/>
        <v>57.484188930324791</v>
      </c>
      <c r="DW150" s="278"/>
      <c r="DX150" s="278" t="s">
        <v>673</v>
      </c>
      <c r="DY150" s="281">
        <f t="shared" si="87"/>
        <v>952.67670727243569</v>
      </c>
      <c r="DZ150" s="281">
        <f t="shared" si="88"/>
        <v>2.5153488835587692</v>
      </c>
      <c r="EB150" s="278"/>
      <c r="EC150" s="278" t="s">
        <v>673</v>
      </c>
      <c r="ED150" s="281">
        <f t="shared" si="89"/>
        <v>952.67670727243569</v>
      </c>
      <c r="EE150" s="281">
        <f t="shared" si="80"/>
        <v>2.5153488835587692</v>
      </c>
      <c r="EL150" s="306" t="s">
        <v>12</v>
      </c>
      <c r="EM150" s="306" t="s">
        <v>361</v>
      </c>
      <c r="EN150" s="306">
        <v>8261.5616000000009</v>
      </c>
      <c r="EO150" s="306">
        <v>0.12335288692322853</v>
      </c>
      <c r="EP150" s="307">
        <v>849105</v>
      </c>
      <c r="EQ150" s="308">
        <f t="shared" si="90"/>
        <v>25.508336389379785</v>
      </c>
      <c r="ER150" s="308">
        <f t="shared" si="91"/>
        <v>6.734956881875305E-2</v>
      </c>
      <c r="ET150" s="420" t="s">
        <v>12</v>
      </c>
      <c r="EU150" s="420" t="s">
        <v>361</v>
      </c>
      <c r="EV150" s="420">
        <v>8261.5616000000009</v>
      </c>
      <c r="EW150" s="420">
        <v>0.12335288692322853</v>
      </c>
      <c r="EX150" s="421">
        <v>849105</v>
      </c>
      <c r="EY150" s="422">
        <f t="shared" si="92"/>
        <v>24.781348802282462</v>
      </c>
      <c r="EZ150" s="422">
        <f t="shared" si="81"/>
        <v>6.543010610741859E-2</v>
      </c>
      <c r="FA150">
        <v>0</v>
      </c>
      <c r="FD150" s="306" t="s">
        <v>12</v>
      </c>
      <c r="FE150" s="306" t="s">
        <v>361</v>
      </c>
      <c r="FF150" s="306">
        <v>8261.5616000000009</v>
      </c>
      <c r="FG150" s="306">
        <v>0.12335288692322853</v>
      </c>
      <c r="FH150" s="307">
        <v>849105</v>
      </c>
      <c r="FI150" s="308">
        <f t="shared" si="82"/>
        <v>24.781348802282462</v>
      </c>
      <c r="FJ150" s="308">
        <f t="shared" si="83"/>
        <v>6.543010610741859E-2</v>
      </c>
      <c r="FL150" s="101"/>
      <c r="FM150" s="101"/>
      <c r="FN150" s="101"/>
      <c r="FO150" s="101"/>
      <c r="FP150" s="374"/>
      <c r="FQ150" s="404"/>
      <c r="FR150" s="404"/>
    </row>
    <row r="151" spans="1:174" ht="25">
      <c r="A151" s="205"/>
      <c r="B151" s="205" t="s">
        <v>13</v>
      </c>
      <c r="C151" s="400">
        <f>$AB66*KTDB_TripDistribution_2035!T$12 * (1+KTDB_발생량도착량_증가율!$C$7*2) * (1+KTDB_발생량도착량_증가율!$D$8*5)* (1+KTDB_발생량도착량_증가율!$E$8*5)</f>
        <v>100.08118324503769</v>
      </c>
      <c r="D151" s="400">
        <f>$AB66*KTDB_TripDistribution_2035!U$12 * (1+KTDB_발생량도착량_증가율!$C$7*2) * (1+KTDB_발생량도착량_증가율!$D$8*5)* (1+KTDB_발생량도착량_증가율!$E$8*5)</f>
        <v>724.30799792316452</v>
      </c>
      <c r="E151" s="400">
        <f>$AB66*KTDB_TripDistribution_2035!V$12 * (1+KTDB_발생량도착량_증가율!$C$7*2) * (1+KTDB_발생량도착량_증가율!$D$8*5)* (1+KTDB_발생량도착량_증가율!$E$8*5)</f>
        <v>41.551757028007238</v>
      </c>
      <c r="F151" s="400">
        <f>$AB66*KTDB_TripDistribution_2035!W$12 * (1+KTDB_발생량도착량_증가율!$C$7*2) * (1+KTDB_발생량도착량_증가율!$D$8*5)* (1+KTDB_발생량도착량_증가율!$E$8*5)</f>
        <v>6.5298727650089691E-2</v>
      </c>
      <c r="G151" s="400">
        <f>$AB66*KTDB_TripDistribution_2035!X$12 * (1+KTDB_발생량도착량_증가율!$C$7*2) * (1+KTDB_발생량도착량_증가율!$D$8*5)* (1+KTDB_발생량도착량_증가율!$E$8*5)</f>
        <v>0.24668408223367291</v>
      </c>
      <c r="H151" s="400">
        <f>$AB66*KTDB_TripDistribution_2035!Y$12 * (1+KTDB_발생량도착량_증가율!$C$7*2) * (1+KTDB_발생량도착량_증가율!$D$8*5)* (1+KTDB_발생량도착량_증가율!$E$8*5)</f>
        <v>866.2529210060934</v>
      </c>
      <c r="K151" s="206"/>
      <c r="L151" s="206" t="s">
        <v>13</v>
      </c>
      <c r="M151" s="206">
        <f>INDEX($A$145:$H$158,MATCH($L151,$B$145:$B$158,0),MATCH($M$144,$A$145:$H$145,0))*고양시_Modal_split!C$3 * 0.01</f>
        <v>0.28022731308610555</v>
      </c>
      <c r="N151" s="206">
        <f>INDEX($A$145:$H$158,MATCH($L151,$B$145:$B$158,0),MATCH($M$144,$A$145:$H$145,0))*고양시_Modal_split!D$3 * 0.01</f>
        <v>47.06818048014123</v>
      </c>
      <c r="O151" s="206">
        <f>INDEX($A$145:$H$158,MATCH($L151,$B$145:$B$158,0),MATCH($M$144,$A$145:$H$145,0))*고양시_Modal_split!E$3 * 0.01</f>
        <v>5.6946193266426439</v>
      </c>
      <c r="P151" s="206">
        <f>INDEX($A$145:$H$158,MATCH($L151,$B$145:$B$158,0),MATCH($M$144,$A$145:$H$145,0))*고양시_Modal_split!F$3 * 0.01</f>
        <v>9.1774445035699568</v>
      </c>
      <c r="Q151" s="206">
        <f>INDEX($A$145:$H$158,MATCH($L151,$B$145:$B$158,0),MATCH($M$144,$A$145:$H$145,0))*고양시_Modal_split!G$3 * 0.01</f>
        <v>0.92074688585434672</v>
      </c>
      <c r="R151" s="206">
        <f>INDEX($A$145:$H$158,MATCH($L151,$B$145:$B$158,0),MATCH($M$144,$A$145:$H$145,0))*고양시_Modal_split!H$3 * 0.01</f>
        <v>1.0008118324503769E-2</v>
      </c>
      <c r="S151" s="206">
        <f>INDEX($A$145:$H$158,MATCH($L151,$B$145:$B$158,0),MATCH($M$144,$A$145:$H$145,0))*고양시_Modal_split!I$3 * 0.01</f>
        <v>2.7822568942120478</v>
      </c>
      <c r="T151" s="206">
        <f>INDEX($A$145:$H$158,MATCH($L151,$B$145:$B$158,0),MATCH($M$144,$A$145:$H$145,0))*고양시_Modal_split!J$3 * 0.01</f>
        <v>30.464712179789476</v>
      </c>
      <c r="U151" s="206">
        <f>INDEX($A$145:$H$158,MATCH($L151,$B$145:$B$158,0),MATCH($M$144,$A$145:$H$145,0))*고양시_Modal_split!K$3 * 0.01</f>
        <v>0.15012177486755654</v>
      </c>
      <c r="V151" s="206">
        <f>INDEX($A$145:$H$158,MATCH($L151,$B$145:$B$158,0),MATCH($M$144,$A$145:$H$145,0))*고양시_Modal_split!L$3 * 0.01</f>
        <v>3.0224517340001382</v>
      </c>
      <c r="W151" s="206">
        <f>INDEX($A$145:$H$158,MATCH($L151,$B$145:$B$158,0),MATCH($M$144,$A$145:$H$145,0))*고양시_Modal_split!M$3 * 0.01</f>
        <v>0.23018672146358668</v>
      </c>
      <c r="X151" s="206">
        <f>INDEX($A$145:$H$158,MATCH($L151,$B$145:$B$158,0),MATCH($M$144,$A$145:$H$145,0))*고양시_Modal_split!N$3 * 0.01</f>
        <v>0.10008118324503769</v>
      </c>
      <c r="Y151" s="206">
        <f>INDEX($A$145:$H$158,MATCH($L151,$B$145:$B$158,0),MATCH($M$144,$A$145:$H$145,0))*고양시_Modal_split!O$3 * 0.01</f>
        <v>0.18014612984106784</v>
      </c>
      <c r="Z151" s="209">
        <f>INDEX($A$145:$H$158,MATCH($L151,$B$145:$B$158,0),MATCH($M$144,$A$145:$H$145,0))*고양시_Modal_split!P$3 * 0.01</f>
        <v>100.08118324503771</v>
      </c>
      <c r="AA151" s="207">
        <f>INDEX($A$145:$H$158,MATCH($L151,$B$145:$B$158,0),MATCH($AA$144,$A$145:$H$145,0))*고양시_Modal_split!C$3 * 0.01</f>
        <v>2.0280623941848606</v>
      </c>
      <c r="AB151" s="207">
        <f>INDEX($A$145:$H$158,MATCH($L151,$B$145:$B$158,0),MATCH($AA$144,$A$145:$H$145,0))*고양시_Modal_split!D$3 * 0.01</f>
        <v>340.64205142326426</v>
      </c>
      <c r="AC151" s="207">
        <f>INDEX($A$145:$H$158,MATCH($L151,$B$145:$B$158,0),MATCH($AA$144,$A$145:$H$145,0))*고양시_Modal_split!E$3 * 0.01</f>
        <v>41.213125081828061</v>
      </c>
      <c r="AD151" s="207">
        <f>INDEX($A$145:$H$158,MATCH($L151,$B$145:$B$158,0),MATCH($AA$144,$A$145:$H$145,0))*고양시_Modal_split!F$3 * 0.01</f>
        <v>66.419043409554192</v>
      </c>
      <c r="AE151" s="207">
        <f>INDEX($A$145:$H$158,MATCH($L151,$B$145:$B$158,0),MATCH($AA$144,$A$145:$H$145,0))*고양시_Modal_split!G$3 * 0.01</f>
        <v>6.6636335808931131</v>
      </c>
      <c r="AF151" s="207">
        <f>INDEX($A$145:$H$158,MATCH($L151,$B$145:$B$158,0),MATCH($AA$144,$A$145:$H$145,0))*고양시_Modal_split!H$3 * 0.01</f>
        <v>7.2430799792316453E-2</v>
      </c>
      <c r="AG151" s="207">
        <f>INDEX($A$145:$H$158,MATCH($L151,$B$145:$B$158,0),MATCH($AA$144,$A$145:$H$145,0))*고양시_Modal_split!I$3 * 0.01</f>
        <v>20.135762342263973</v>
      </c>
      <c r="AH151" s="207">
        <f>INDEX($A$145:$H$158,MATCH($L151,$B$145:$B$158,0),MATCH($AA$144,$A$145:$H$145,0))*고양시_Modal_split!J$3 * 0.01</f>
        <v>220.47935456781127</v>
      </c>
      <c r="AI151" s="207">
        <f>INDEX($A$145:$H$158,MATCH($L151,$B$145:$B$158,0),MATCH($AA$144,$A$145:$H$145,0))*고양시_Modal_split!K$3 * 0.01</f>
        <v>1.0864619968847469</v>
      </c>
      <c r="AJ151" s="207">
        <f>INDEX($A$145:$H$158,MATCH($L151,$B$145:$B$158,0),MATCH($AA$144,$A$145:$H$145,0))*고양시_Modal_split!L$3 * 0.01</f>
        <v>21.874101537279568</v>
      </c>
      <c r="AK151" s="207">
        <f>INDEX($A$145:$H$158,MATCH($L151,$B$145:$B$158,0),MATCH($AA$144,$A$145:$H$145,0))*고양시_Modal_split!M$3 * 0.01</f>
        <v>1.6659083952232783</v>
      </c>
      <c r="AL151" s="207">
        <f>INDEX($A$145:$H$158,MATCH($L151,$B$145:$B$158,0),MATCH($AA$144,$A$145:$H$145,0))*고양시_Modal_split!N$3 * 0.01</f>
        <v>0.72430799792316447</v>
      </c>
      <c r="AM151" s="207">
        <f>INDEX($A$145:$H$158,MATCH($L151,$B$145:$B$158,0),MATCH($AA$144,$A$145:$H$145,0))*고양시_Modal_split!O$3 * 0.01</f>
        <v>1.3037543962616962</v>
      </c>
      <c r="AN151" s="207">
        <f>INDEX($A$145:$H$158,MATCH($L151,$B$145:$B$158,0),MATCH($AA$144,$A$145:$H$145,0))*고양시_Modal_split!P$3 * 0.01</f>
        <v>724.30799792316452</v>
      </c>
      <c r="AO151" s="303">
        <f>INDEX($A$145:$H$158,MATCH($L151,$B$145:$B$158,0),MATCH($AO$144,$A$145:$H$145,0))*고양시_Modal_split!C$3 * 0.01</f>
        <v>0.11634491967842026</v>
      </c>
      <c r="AP151" s="303">
        <f>INDEX($A$145:$H$158,MATCH($L151,$B$145:$B$158,0),MATCH($AO$144,$A$145:$H$145,0))*고양시_Modal_split!D$3 * 0.01</f>
        <v>19.541791330271803</v>
      </c>
      <c r="AQ151" s="303">
        <f>INDEX($A$145:$H$158,MATCH($L151,$B$145:$B$158,0),MATCH($AO$144,$A$145:$H$145,0))*고양시_Modal_split!E$3 * 0.01</f>
        <v>2.3642949748936117</v>
      </c>
      <c r="AR151" s="303">
        <f>INDEX($A$145:$H$158,MATCH($L151,$B$145:$B$158,0),MATCH($AO$144,$A$145:$H$145,0))*고양시_Modal_split!F$3 * 0.01</f>
        <v>3.8102961194682639</v>
      </c>
      <c r="AS151" s="303">
        <f>INDEX($A$145:$H$158,MATCH($L151,$B$145:$B$158,0),MATCH($AO$144,$A$145:$H$145,0))*고양시_Modal_split!G$3 * 0.01</f>
        <v>0.38227616465766662</v>
      </c>
      <c r="AT151" s="303">
        <f>INDEX($A$145:$H$158,MATCH($L151,$B$145:$B$158,0),MATCH($AO$144,$A$145:$H$145,0))*고양시_Modal_split!H$3 * 0.01</f>
        <v>4.1551757028007244E-3</v>
      </c>
      <c r="AU151" s="303">
        <f>INDEX($A$145:$H$158,MATCH($L151,$B$145:$B$158,0),MATCH($AO$144,$A$145:$H$145,0))*고양시_Modal_split!I$3 * 0.01</f>
        <v>1.1551388453786011</v>
      </c>
      <c r="AV151" s="303">
        <f>INDEX($A$145:$H$158,MATCH($L151,$B$145:$B$158,0),MATCH($AO$144,$A$145:$H$145,0))*고양시_Modal_split!J$3 * 0.01</f>
        <v>12.648354839325405</v>
      </c>
      <c r="AW151" s="303">
        <f>INDEX($A$145:$H$158,MATCH($L151,$B$145:$B$158,0),MATCH($AO$144,$A$145:$H$145,0))*고양시_Modal_split!K$3 * 0.01</f>
        <v>6.2327635542010852E-2</v>
      </c>
      <c r="AX151" s="303">
        <f>INDEX($A$145:$H$158,MATCH($L151,$B$145:$B$158,0),MATCH($AO$144,$A$145:$H$145,0))*고양시_Modal_split!L$3 * 0.01</f>
        <v>1.2548630622458186</v>
      </c>
      <c r="AY151" s="303">
        <f>INDEX($A$145:$H$158,MATCH($L151,$B$145:$B$158,0),MATCH($AO$144,$A$145:$H$145,0))*고양시_Modal_split!M$3 * 0.01</f>
        <v>9.5569041164416654E-2</v>
      </c>
      <c r="AZ151" s="303">
        <f>INDEX($A$145:$H$158,MATCH($L151,$B$145:$B$158,0),MATCH($AO$144,$A$145:$H$145,0))*고양시_Modal_split!N$3 * 0.01</f>
        <v>4.1551757028007244E-2</v>
      </c>
      <c r="BA151" s="207">
        <f>INDEX($A$145:$H$158,MATCH($L151,$B$145:$B$158,0),MATCH($AO$144,$A$145:$H$145,0))*고양시_Modal_split!O$3 * 0.01</f>
        <v>7.4793162650413025E-2</v>
      </c>
      <c r="BB151" s="207">
        <f>INDEX($A$145:$H$158,MATCH($L151,$B$145:$B$158,0),MATCH($AO$144,$A$145:$H$145,0))*고양시_Modal_split!P$3 * 0.01</f>
        <v>41.551757028007245</v>
      </c>
      <c r="BC151" s="207">
        <f>INDEX($A$145:$H$158,MATCH($L151,$B$145:$B$158,0),MATCH($BC$144,$A$145:$H$145,0))*고양시_Modal_split!C$3 * 0.01</f>
        <v>1.8283643742025111E-4</v>
      </c>
      <c r="BD151" s="207">
        <f>INDEX($A$145:$H$158,MATCH($L151,$B$145:$B$158,0),MATCH($BC$144,$A$145:$H$145,0))*고양시_Modal_split!D$3 * 0.01</f>
        <v>3.0709991613837185E-2</v>
      </c>
      <c r="BE151" s="207">
        <f>INDEX($A$145:$H$158,MATCH($L151,$B$145:$B$158,0),MATCH($BC$144,$A$145:$H$145,0))*고양시_Modal_split!E$3 * 0.01</f>
        <v>3.7154976032901035E-3</v>
      </c>
      <c r="BF151" s="207">
        <f>INDEX($A$145:$H$158,MATCH($L151,$B$145:$B$158,0),MATCH($BC$144,$A$145:$H$145,0))*고양시_Modal_split!F$3 * 0.01</f>
        <v>5.9878933255132251E-3</v>
      </c>
      <c r="BG151" s="207">
        <f>INDEX($A$145:$H$158,MATCH($L151,$B$145:$B$158,0),MATCH($BC$144,$A$145:$H$145,0))*고양시_Modal_split!G$3 * 0.01</f>
        <v>6.0074829438082507E-4</v>
      </c>
      <c r="BH151" s="207">
        <f>INDEX($A$145:$H$158,MATCH($L151,$B$145:$B$158,0),MATCH($BC$144,$A$145:$H$145,0))*고양시_Modal_split!H$3 * 0.01</f>
        <v>6.5298727650089694E-6</v>
      </c>
      <c r="BI151" s="207">
        <f>INDEX($A$145:$H$158,MATCH($L151,$B$145:$B$158,0),MATCH($BC$144,$A$145:$H$145,0))*고양시_Modal_split!I$3 * 0.01</f>
        <v>1.8153046286724934E-3</v>
      </c>
      <c r="BJ151" s="207">
        <f>INDEX($A$145:$H$158,MATCH($L151,$B$145:$B$158,0),MATCH($BC$144,$A$145:$H$145,0))*고양시_Modal_split!J$3 * 0.01</f>
        <v>1.9876932696687305E-2</v>
      </c>
      <c r="BK151" s="207">
        <f>INDEX($A$145:$H$158,MATCH($L151,$B$145:$B$158,0),MATCH($BC$144,$A$145:$H$145,0))*고양시_Modal_split!K$3 * 0.01</f>
        <v>9.7948091475134533E-5</v>
      </c>
      <c r="BL151" s="207">
        <f>INDEX($A$145:$H$158,MATCH($L151,$B$145:$B$158,0),MATCH($BC$144,$A$145:$H$145,0))*고양시_Modal_split!L$3 * 0.01</f>
        <v>1.9720215750327085E-3</v>
      </c>
      <c r="BM151" s="207">
        <f>INDEX($A$145:$H$158,MATCH($L151,$B$145:$B$158,0),MATCH($BC$144,$A$145:$H$145,0))*고양시_Modal_split!M$3 * 0.01</f>
        <v>1.5018707359520627E-4</v>
      </c>
      <c r="BN151" s="207">
        <f>INDEX($A$145:$H$158,MATCH($L151,$B$145:$B$158,0),MATCH($BC$144,$A$145:$H$145,0))*고양시_Modal_split!N$3 * 0.01</f>
        <v>6.5298727650089689E-5</v>
      </c>
      <c r="BO151" s="207">
        <f>INDEX($A$145:$H$158,MATCH($L151,$B$145:$B$158,0),MATCH($BC$144,$A$145:$H$145,0))*고양시_Modal_split!O$3 * 0.01</f>
        <v>1.1753770977016144E-4</v>
      </c>
      <c r="BP151" s="207">
        <f>INDEX($A$145:$H$158,MATCH($L151,$B$145:$B$158,0),MATCH($BC$144,$A$145:$H$145,0))*고양시_Modal_split!P$3 * 0.01</f>
        <v>6.5298727650089691E-2</v>
      </c>
      <c r="BQ151" s="207">
        <f>INDEX($A$145:$H$158,MATCH($L151,$B$145:$B$158,0),MATCH($BQ$144,$A$145:$H$145,0))*고양시_Modal_split!C$3 * 0.01</f>
        <v>6.9071543025428408E-4</v>
      </c>
      <c r="BR151" s="207">
        <f>INDEX($A$145:$H$158,MATCH($L151,$B$145:$B$158,0),MATCH($BQ$144,$A$145:$H$145,0))*고양시_Modal_split!D$3 * 0.01</f>
        <v>0.11601552387449637</v>
      </c>
      <c r="BS151" s="207">
        <f>INDEX($A$145:$H$158,MATCH($L151,$B$145:$B$158,0),MATCH($BQ$144,$A$145:$H$145,0))*고양시_Modal_split!E$3 * 0.01</f>
        <v>1.4036324279095989E-2</v>
      </c>
      <c r="BT151" s="207">
        <f>INDEX($A$145:$H$158,MATCH($L151,$B$145:$B$158,0),MATCH($BQ$144,$A$145:$H$145,0))*고양시_Modal_split!F$3 * 0.01</f>
        <v>2.2620930340827808E-2</v>
      </c>
      <c r="BU151" s="207">
        <f>INDEX($A$145:$H$158,MATCH($L151,$B$145:$B$158,0),MATCH($BQ$144,$A$145:$H$145,0))*고양시_Modal_split!G$3 * 0.01</f>
        <v>2.2694935565497907E-3</v>
      </c>
      <c r="BV151" s="207">
        <f>INDEX($A$145:$H$158,MATCH($L151,$B$145:$B$158,0),MATCH($BQ$144,$A$145:$H$145,0))*고양시_Modal_split!H$3 * 0.01</f>
        <v>2.4668408223367292E-5</v>
      </c>
      <c r="BW151" s="207">
        <f>INDEX($A$145:$H$158,MATCH($L151,$B$145:$B$158,0),MATCH($BQ$144,$A$145:$H$145,0))*고양시_Modal_split!I$3 * 0.01</f>
        <v>6.8578174860961065E-3</v>
      </c>
      <c r="BX151" s="207">
        <f>INDEX($A$145:$H$158,MATCH($L151,$B$145:$B$158,0),MATCH($BQ$144,$A$145:$H$145,0))*고양시_Modal_split!J$3 * 0.01</f>
        <v>7.5090634631930039E-2</v>
      </c>
      <c r="BY151" s="207">
        <f>INDEX($A$145:$H$158,MATCH($L151,$B$145:$B$158,0),MATCH($BQ$144,$A$145:$H$145,0))*고양시_Modal_split!K$3 * 0.01</f>
        <v>3.7002612335050936E-4</v>
      </c>
      <c r="BZ151" s="207">
        <f>INDEX($A$145:$H$158,MATCH($L151,$B$145:$B$158,0),MATCH($BQ$144,$A$145:$H$145,0))*고양시_Modal_split!L$3 * 0.01</f>
        <v>7.4498592834569225E-3</v>
      </c>
      <c r="CA151" s="207">
        <f>INDEX($A$145:$H$158,MATCH($L151,$B$145:$B$158,0),MATCH($BQ$144,$A$145:$H$145,0))*고양시_Modal_split!M$3 * 0.01</f>
        <v>5.6737338913744766E-4</v>
      </c>
      <c r="CB151" s="207">
        <f>INDEX($A$145:$H$158,MATCH($L151,$B$145:$B$158,0),MATCH($BQ$144,$A$145:$H$145,0))*고양시_Modal_split!N$3 * 0.01</f>
        <v>2.4668408223367294E-4</v>
      </c>
      <c r="CC151" s="207">
        <f>INDEX($A$145:$H$158,MATCH($L151,$B$145:$B$158,0),MATCH($BQ$144,$A$145:$H$145,0))*고양시_Modal_split!O$3 * 0.01</f>
        <v>4.4403134802061125E-4</v>
      </c>
      <c r="CD151" s="207">
        <f>INDEX($A$145:$H$158,MATCH($L151,$B$145:$B$158,0),MATCH($BQ$144,$A$145:$H$145,0))*고양시_Modal_split!P$3 * 0.01</f>
        <v>0.24668408223367291</v>
      </c>
      <c r="CE151" s="304">
        <f t="shared" si="84"/>
        <v>2.4255081788170609</v>
      </c>
      <c r="CF151" s="304">
        <f t="shared" si="64"/>
        <v>407.39874874916563</v>
      </c>
      <c r="CG151" s="304">
        <f t="shared" si="65"/>
        <v>49.289791205246701</v>
      </c>
      <c r="CH151" s="304">
        <f t="shared" si="66"/>
        <v>79.435392856258744</v>
      </c>
      <c r="CI151" s="304">
        <f t="shared" si="67"/>
        <v>7.969526873256056</v>
      </c>
      <c r="CJ151" s="304">
        <f t="shared" si="68"/>
        <v>8.6625292100609305E-2</v>
      </c>
      <c r="CK151" s="304">
        <f t="shared" si="69"/>
        <v>24.08183120396939</v>
      </c>
      <c r="CL151" s="304">
        <f t="shared" si="70"/>
        <v>263.68738915425473</v>
      </c>
      <c r="CM151" s="304">
        <f t="shared" si="71"/>
        <v>1.2993793815091399</v>
      </c>
      <c r="CN151" s="304">
        <f t="shared" si="72"/>
        <v>26.160838214384015</v>
      </c>
      <c r="CO151" s="304">
        <f t="shared" si="73"/>
        <v>1.992381718314014</v>
      </c>
      <c r="CP151" s="304">
        <f t="shared" si="74"/>
        <v>0.86625292100609319</v>
      </c>
      <c r="CQ151" s="304">
        <f t="shared" si="75"/>
        <v>1.5592552578109677</v>
      </c>
      <c r="CR151" s="304">
        <f t="shared" si="76"/>
        <v>866.25292100609317</v>
      </c>
      <c r="CS151" s="305">
        <f t="shared" si="85"/>
        <v>0</v>
      </c>
      <c r="CV151" s="267"/>
      <c r="CW151" s="267" t="s">
        <v>13</v>
      </c>
      <c r="CX151" s="267">
        <f>INDEX($M$144:$Z$158,MATCH($CW151,$L$144:$L$158,0),MATCH(CX$145,$M$145:$Z$145,0))/INDEX(고양시_재차인원!$D$4:$H$35,MATCH("고양시",고양시_재차인원!$B$4:$B$35,0),MATCH($CX$144,고양시_재차인원!$D$4:$H$4,0))</f>
        <v>42.025161142983237</v>
      </c>
      <c r="CY151" s="267">
        <f>INDEX($M$144:$Z$158,MATCH($CW151,$L$144:$L$158,0),MATCH(CY$145,$M$145:$Z$145,0))/INDEX(고양시_재차인원!$K$4:$O$20,MATCH("경기도",고양시_재차인원!$K$4:$K$20,0),MATCH(CY$145,고양시_재차인원!$K$4:$O$4,0))</f>
        <v>3.4762481154927992E-4</v>
      </c>
      <c r="CZ151" s="267">
        <f>INDEX($M$144:$Z$158,MATCH($CW151,$L$144:$L$158,0),MATCH(CZ$145,$M$145:$Z$145,0))/INDEX(고양시_재차인원!$K$4:$O$20,MATCH("경기도",고양시_재차인원!$K$4:$K$20,0),MATCH(CZ$145,고양시_재차인원!$K$4:$O$4,0))</f>
        <v>9.6639697610699821E-2</v>
      </c>
      <c r="DA151" s="267">
        <f>INDEX($M$144:$Z$158,MATCH($CW151,$L$144:$L$158,0),MATCH(DA$145,$M$145:$Z$145,0))/INDEX(고양시_재차인원!$D$4:$H$35,MATCH("고양시",고양시_재차인원!$B$4:$B$35,0),MATCH($CX$144,고양시_재차인원!$D$4:$H$4,0))</f>
        <v>2.6986176196429801</v>
      </c>
      <c r="DB151" s="267">
        <f>INDEX($AA$144:$AN$158,MATCH($CW151,$L$144:$L$158,0),MATCH(DB$145,$AA$145:$AN$145,0))/INDEX(고양시_재차인원!$D$4:$H$35,MATCH("고양시",고양시_재차인원!$B$4:$B$35,0),MATCH($DB$144,고양시_재차인원!$D$4:$H$4,0))</f>
        <v>241.59010739238602</v>
      </c>
      <c r="DC151" s="267">
        <f>INDEX($AA$144:$AN$158,MATCH($CW151,$L$144:$L$158,0),MATCH(DC$145,$AA$145:$AN$145,0))/INDEX(고양시_재차인원!$K$4:$O$20,MATCH("경기도",고양시_재차인원!$K$4:$K$20,0),MATCH(DC$145,고양시_재차인원!$K$4:$O$4,0))</f>
        <v>2.5158318788578138E-3</v>
      </c>
      <c r="DD151" s="267">
        <f>INDEX($AA$144:$AN$158,MATCH($CW151,$L$144:$L$158,0),MATCH(DD$145,$AA$145:$AN$145,0))/INDEX(고양시_재차인원!$K$4:$O$20,MATCH("경기도",고양시_재차인원!$K$4:$K$20,0),MATCH(DD$145,고양시_재차인원!$K$4:$O$4,0))</f>
        <v>0.69940126232247213</v>
      </c>
      <c r="DE151" s="267">
        <f>INDEX($AA$144:$AN$158,MATCH($CW151,$L$144:$L$158,0),MATCH(DE$145,$AA$145:$AN$145,0))/INDEX(고양시_재차인원!$D$4:$H$35,MATCH("고양시",고양시_재차인원!$B$4:$B$35,0),MATCH($DB$144,고양시_재차인원!$D$4:$H$4,0))</f>
        <v>15.513547189559977</v>
      </c>
      <c r="DF151" s="267">
        <f>INDEX($AO$144:$BB$158,MATCH($CW151,$L$144:$L$158,0),MATCH(DF$145,$AO$145:$BB$145,0))/INDEX(고양시_재차인원!$D$4:$H$35,MATCH("고양시",고양시_재차인원!$B$4:$B$35,0),MATCH($DF$144,고양시_재차인원!$D$4:$H$4,0))</f>
        <v>15.032147177132156</v>
      </c>
      <c r="DG151" s="267">
        <f>INDEX($AO$144:$BB$158,MATCH($CW151,$L$144:$L$158,0),MATCH(DG$145,$AO$145:$BB$145,0))/INDEX(고양시_재차인원!$K$4:$O$20,MATCH("경기도",고양시_재차인원!$K$4:$K$20,0),MATCH(DG$145,고양시_재차인원!$K$4:$O$4,0))</f>
        <v>1.4432704768324852E-4</v>
      </c>
      <c r="DH151" s="267">
        <f>INDEX($AO$144:$BB$158,MATCH($CW151,$L$144:$L$158,0),MATCH(DH$145,$AO$145:$BB$145,0))/INDEX(고양시_재차인원!$K$4:$O$20,MATCH("경기도",고양시_재차인원!$K$4:$K$20,0),MATCH(DH$145,고양시_재차인원!$K$4:$O$4,0))</f>
        <v>4.0122919255943079E-2</v>
      </c>
      <c r="DI151" s="267">
        <f>INDEX($AO$144:$BB$158,MATCH($CW151,$L$144:$L$158,0),MATCH(DI$145,$AO$145:$BB$145,0))/INDEX(고양시_재차인원!$D$4:$H$35,MATCH("고양시",고양시_재차인원!$B$4:$B$35,0),MATCH($DF$144,고양시_재차인원!$D$4:$H$4,0))</f>
        <v>0.96527927865062968</v>
      </c>
      <c r="DJ151" s="267">
        <f>INDEX($BC$144:$BP$158,MATCH($CW151,$L$144:$L$158,0),MATCH(DJ$145,$BC$145:$BP$145,0))/INDEX(고양시_재차인원!$D$4:$H$35,MATCH("고양시",고양시_재차인원!$B$4:$B$35,0),MATCH($DJ$144,고양시_재차인원!$D$4:$H$4,0))</f>
        <v>2.2580876186644987E-2</v>
      </c>
      <c r="DK151" s="267">
        <f>INDEX($BC$144:$BP$158,MATCH($CW151,$L$144:$L$158,0),MATCH(DK$145,$BC$145:$BP$145,0))/INDEX(고양시_재차인원!$K$4:$O$20,MATCH("경기도",고양시_재차인원!$K$4:$K$20,0),MATCH(DK$145,고양시_재차인원!$K$4:$O$4,0))</f>
        <v>2.2681044685685896E-7</v>
      </c>
      <c r="DL151" s="267">
        <f>INDEX($BC$144:$BP$158,MATCH($CW151,$L$144:$L$158,0),MATCH(DL$145,$BC$145:$BP$145,0))/INDEX(고양시_재차인원!$K$4:$O$20,MATCH("경기도",고양시_재차인원!$K$4:$K$20,0),MATCH(DL$145,고양시_재차인원!$K$4:$O$4,0))</f>
        <v>6.3053304226206788E-5</v>
      </c>
      <c r="DM151" s="267">
        <f>INDEX($BC$144:$BP$158,MATCH($CW151,$L$144:$L$158,0),MATCH(DM$145,$BC$145:$BP$145,0))/INDEX(고양시_재차인원!$D$4:$H$35,MATCH("고양시",고양시_재차인원!$B$4:$B$35,0),MATCH($DJ$144,고양시_재차인원!$D$4:$H$4,0))</f>
        <v>1.4500158639946384E-3</v>
      </c>
      <c r="DN151" s="267">
        <f>INDEX($BQ$144:$CD$158,MATCH($CW151,$L$144:$L$158,0),MATCH(DN$145,$BQ$145:$CD$145,0))/INDEX(고양시_재차인원!$D$4:$H$35,MATCH("고양시",고양시_재차인원!$B$4:$B$35,0),MATCH($DN$144,고양시_재차인원!$D$4:$H$4,0))</f>
        <v>9.207581259880665E-2</v>
      </c>
      <c r="DO151" s="267">
        <f>INDEX($BQ$144:$CD$158,MATCH($CW151,$L$144:$L$158,0),MATCH(DO$145,$BQ$145:$CD$145,0))/INDEX(고양시_재차인원!$K$4:$O$20,MATCH("경기도",고양시_재차인원!$K$4:$K$20,0),MATCH(DO$145,고양시_재차인원!$K$4:$O$4,0))</f>
        <v>8.5683946590369205E-7</v>
      </c>
      <c r="DP151" s="267">
        <f>INDEX($BQ$144:$CD$158,MATCH($CW151,$L$144:$L$158,0),MATCH(DP$145,$BQ$145:$CD$145,0))/INDEX(고양시_재차인원!$K$4:$O$20,MATCH("경기도",고양시_재차인원!$K$4:$K$20,0),MATCH(DP$145,고양시_재차인원!$K$4:$O$4,0))</f>
        <v>2.3820137152122636E-4</v>
      </c>
      <c r="DQ151" s="267">
        <f>INDEX($BQ$144:$CD$158,MATCH($CW151,$L$144:$L$158,0),MATCH(DQ$145,$BQ$145:$CD$145,0))/INDEX(고양시_재차인원!$D$4:$H$35,MATCH("고양시",고양시_재차인원!$B$4:$B$35,0),MATCH($DN$144,고양시_재차인원!$D$4:$H$4,0))</f>
        <v>5.9125867329023196E-3</v>
      </c>
      <c r="DR151" s="270">
        <f t="shared" si="86"/>
        <v>298.76207240128684</v>
      </c>
      <c r="DS151" s="270">
        <f t="shared" si="77"/>
        <v>3.0088673880031029E-3</v>
      </c>
      <c r="DT151" s="270">
        <f t="shared" si="78"/>
        <v>0.83646513386486243</v>
      </c>
      <c r="DU151" s="270">
        <f t="shared" si="79"/>
        <v>19.184806690450483</v>
      </c>
      <c r="DW151" s="278"/>
      <c r="DX151" s="278" t="s">
        <v>13</v>
      </c>
      <c r="DY151" s="281">
        <f t="shared" si="87"/>
        <v>317.94687909173734</v>
      </c>
      <c r="DZ151" s="281">
        <f t="shared" si="88"/>
        <v>0.83947400125286553</v>
      </c>
      <c r="EB151" s="278"/>
      <c r="EC151" s="278" t="s">
        <v>13</v>
      </c>
      <c r="ED151" s="281">
        <f t="shared" si="89"/>
        <v>317.94687909173734</v>
      </c>
      <c r="EE151" s="281">
        <f t="shared" si="80"/>
        <v>0.83947400125286553</v>
      </c>
      <c r="EL151" s="306" t="s">
        <v>12</v>
      </c>
      <c r="EM151" s="306" t="s">
        <v>362</v>
      </c>
      <c r="EN151" s="306">
        <v>22890.217400000001</v>
      </c>
      <c r="EO151" s="306">
        <v>0.3417724802282317</v>
      </c>
      <c r="EP151" s="307">
        <v>849106</v>
      </c>
      <c r="EQ151" s="308">
        <f t="shared" si="90"/>
        <v>70.675665659290658</v>
      </c>
      <c r="ER151" s="308">
        <f t="shared" si="91"/>
        <v>0.18660470582916414</v>
      </c>
      <c r="ET151" s="420" t="s">
        <v>12</v>
      </c>
      <c r="EU151" s="420" t="s">
        <v>362</v>
      </c>
      <c r="EV151" s="420">
        <v>22890.217400000001</v>
      </c>
      <c r="EW151" s="420">
        <v>0.3417724802282317</v>
      </c>
      <c r="EX151" s="421">
        <v>849106</v>
      </c>
      <c r="EY151" s="422">
        <f t="shared" si="92"/>
        <v>68.661409188000874</v>
      </c>
      <c r="EZ151" s="422">
        <f t="shared" si="81"/>
        <v>0.18128647171303297</v>
      </c>
      <c r="FA151">
        <v>0</v>
      </c>
      <c r="FD151" s="306" t="s">
        <v>12</v>
      </c>
      <c r="FE151" s="306" t="s">
        <v>362</v>
      </c>
      <c r="FF151" s="306">
        <v>22890.217400000001</v>
      </c>
      <c r="FG151" s="306">
        <v>0.3417724802282317</v>
      </c>
      <c r="FH151" s="307">
        <v>849106</v>
      </c>
      <c r="FI151" s="308">
        <f t="shared" si="82"/>
        <v>68.661409188000874</v>
      </c>
      <c r="FJ151" s="308">
        <f t="shared" si="83"/>
        <v>0.18128647171303297</v>
      </c>
      <c r="FL151" s="101"/>
      <c r="FM151" s="101"/>
      <c r="FN151" s="101"/>
      <c r="FO151" s="101"/>
      <c r="FP151" s="374"/>
      <c r="FQ151" s="404"/>
      <c r="FR151" s="404"/>
    </row>
    <row r="152" spans="1:174" ht="25">
      <c r="A152" s="205"/>
      <c r="B152" s="205" t="s">
        <v>301</v>
      </c>
      <c r="C152" s="400">
        <f>$AB67*KTDB_TripDistribution_2035!T$12 * (1+KTDB_발생량도착량_증가율!$C$7*2) * (1+KTDB_발생량도착량_증가율!$D$8*5)* (1+KTDB_발생량도착량_증가율!$E$8*5)</f>
        <v>1757.5574724477851</v>
      </c>
      <c r="D152" s="400">
        <f>$AB67*KTDB_TripDistribution_2035!U$12 * (1+KTDB_발생량도착량_증가율!$C$7*2) * (1+KTDB_발생량도착량_증가율!$D$8*5)* (1+KTDB_발생량도착량_증가율!$E$8*5)</f>
        <v>12719.802992204057</v>
      </c>
      <c r="E152" s="400">
        <f>$AB67*KTDB_TripDistribution_2035!V$12 * (1+KTDB_발생량도착량_증가율!$C$7*2) * (1+KTDB_발생량도착량_증가율!$D$8*5)* (1+KTDB_발생량도착량_증가율!$E$8*5)</f>
        <v>729.70361350648705</v>
      </c>
      <c r="F152" s="400">
        <f>$AB67*KTDB_TripDistribution_2035!W$12 * (1+KTDB_발생량도착량_증가율!$C$7*2) * (1+KTDB_발생량도착량_증가율!$D$8*5)* (1+KTDB_발생량도착량_증가율!$E$8*5)</f>
        <v>1.1467317132108186</v>
      </c>
      <c r="G152" s="400">
        <f>$AB67*KTDB_TripDistribution_2035!X$12 * (1+KTDB_발생량도착량_증가율!$C$7*2) * (1+KTDB_발생량도착량_증가율!$D$8*5)* (1+KTDB_발생량도착량_증가율!$E$8*5)</f>
        <v>4.3320975832408832</v>
      </c>
      <c r="H152" s="400">
        <f>$AB67*KTDB_TripDistribution_2035!Y$12 * (1+KTDB_발생량도착량_증가율!$C$7*2) * (1+KTDB_발생량도착량_증가율!$D$8*5)* (1+KTDB_발생량도착량_증가율!$E$8*5)</f>
        <v>15212.542907454781</v>
      </c>
      <c r="I152" s="56"/>
      <c r="J152" s="56"/>
      <c r="K152" s="206"/>
      <c r="L152" s="206" t="s">
        <v>301</v>
      </c>
      <c r="M152" s="206">
        <f>INDEX($A$145:$H$158,MATCH($L152,$B$145:$B$158,0),MATCH($M$144,$A$145:$H$145,0))*고양시_Modal_split!C$3 * 0.01</f>
        <v>4.9211609228537982</v>
      </c>
      <c r="N152" s="206">
        <f>INDEX($A$145:$H$158,MATCH($L152,$B$145:$B$158,0),MATCH($M$144,$A$145:$H$145,0))*고양시_Modal_split!D$3 * 0.01</f>
        <v>826.57927929219341</v>
      </c>
      <c r="O152" s="206">
        <f>INDEX($A$145:$H$158,MATCH($L152,$B$145:$B$158,0),MATCH($M$144,$A$145:$H$145,0))*고양시_Modal_split!E$3 * 0.01</f>
        <v>100.00502018227897</v>
      </c>
      <c r="P152" s="206">
        <f>INDEX($A$145:$H$158,MATCH($L152,$B$145:$B$158,0),MATCH($M$144,$A$145:$H$145,0))*고양시_Modal_split!F$3 * 0.01</f>
        <v>161.16802022346189</v>
      </c>
      <c r="Q152" s="206">
        <f>INDEX($A$145:$H$158,MATCH($L152,$B$145:$B$158,0),MATCH($M$144,$A$145:$H$145,0))*고양시_Modal_split!G$3 * 0.01</f>
        <v>16.169528746519624</v>
      </c>
      <c r="R152" s="206">
        <f>INDEX($A$145:$H$158,MATCH($L152,$B$145:$B$158,0),MATCH($M$144,$A$145:$H$145,0))*고양시_Modal_split!H$3 * 0.01</f>
        <v>0.17575574724477855</v>
      </c>
      <c r="S152" s="206">
        <f>INDEX($A$145:$H$158,MATCH($L152,$B$145:$B$158,0),MATCH($M$144,$A$145:$H$145,0))*고양시_Modal_split!I$3 * 0.01</f>
        <v>48.860097734048423</v>
      </c>
      <c r="T152" s="206">
        <f>INDEX($A$145:$H$158,MATCH($L152,$B$145:$B$158,0),MATCH($M$144,$A$145:$H$145,0))*고양시_Modal_split!J$3 * 0.01</f>
        <v>535.00049461310584</v>
      </c>
      <c r="U152" s="206">
        <f>INDEX($A$145:$H$158,MATCH($L152,$B$145:$B$158,0),MATCH($M$144,$A$145:$H$145,0))*고양시_Modal_split!K$3 * 0.01</f>
        <v>2.6363362086716773</v>
      </c>
      <c r="V152" s="206">
        <f>INDEX($A$145:$H$158,MATCH($L152,$B$145:$B$158,0),MATCH($M$144,$A$145:$H$145,0))*고양시_Modal_split!L$3 * 0.01</f>
        <v>53.07823566792311</v>
      </c>
      <c r="W152" s="206">
        <f>INDEX($A$145:$H$158,MATCH($L152,$B$145:$B$158,0),MATCH($M$144,$A$145:$H$145,0))*고양시_Modal_split!M$3 * 0.01</f>
        <v>4.0423821866299061</v>
      </c>
      <c r="X152" s="206">
        <f>INDEX($A$145:$H$158,MATCH($L152,$B$145:$B$158,0),MATCH($M$144,$A$145:$H$145,0))*고양시_Modal_split!N$3 * 0.01</f>
        <v>1.7575574724477852</v>
      </c>
      <c r="Y152" s="206">
        <f>INDEX($A$145:$H$158,MATCH($L152,$B$145:$B$158,0),MATCH($M$144,$A$145:$H$145,0))*고양시_Modal_split!O$3 * 0.01</f>
        <v>3.1636034504060131</v>
      </c>
      <c r="Z152" s="209">
        <f>INDEX($A$145:$H$158,MATCH($L152,$B$145:$B$158,0),MATCH($M$144,$A$145:$H$145,0))*고양시_Modal_split!P$3 * 0.01</f>
        <v>1757.5574724477854</v>
      </c>
      <c r="AA152" s="207">
        <f>INDEX($A$145:$H$158,MATCH($L152,$B$145:$B$158,0),MATCH($AA$144,$A$145:$H$145,0))*고양시_Modal_split!C$3 * 0.01</f>
        <v>35.615448378171358</v>
      </c>
      <c r="AB152" s="207">
        <f>INDEX($A$145:$H$158,MATCH($L152,$B$145:$B$158,0),MATCH($AA$144,$A$145:$H$145,0))*고양시_Modal_split!D$3 * 0.01</f>
        <v>5982.123347233568</v>
      </c>
      <c r="AC152" s="207">
        <f>INDEX($A$145:$H$158,MATCH($L152,$B$145:$B$158,0),MATCH($AA$144,$A$145:$H$145,0))*고양시_Modal_split!E$3 * 0.01</f>
        <v>723.7567902564108</v>
      </c>
      <c r="AD152" s="207">
        <f>INDEX($A$145:$H$158,MATCH($L152,$B$145:$B$158,0),MATCH($AA$144,$A$145:$H$145,0))*고양시_Modal_split!F$3 * 0.01</f>
        <v>1166.405934385112</v>
      </c>
      <c r="AE152" s="207">
        <f>INDEX($A$145:$H$158,MATCH($L152,$B$145:$B$158,0),MATCH($AA$144,$A$145:$H$145,0))*고양시_Modal_split!G$3 * 0.01</f>
        <v>117.02218752827731</v>
      </c>
      <c r="AF152" s="207">
        <f>INDEX($A$145:$H$158,MATCH($L152,$B$145:$B$158,0),MATCH($AA$144,$A$145:$H$145,0))*고양시_Modal_split!H$3 * 0.01</f>
        <v>1.2719802992204057</v>
      </c>
      <c r="AG152" s="207">
        <f>INDEX($A$145:$H$158,MATCH($L152,$B$145:$B$158,0),MATCH($AA$144,$A$145:$H$145,0))*고양시_Modal_split!I$3 * 0.01</f>
        <v>353.61052318327273</v>
      </c>
      <c r="AH152" s="207">
        <f>INDEX($A$145:$H$158,MATCH($L152,$B$145:$B$158,0),MATCH($AA$144,$A$145:$H$145,0))*고양시_Modal_split!J$3 * 0.01</f>
        <v>3871.9080308269149</v>
      </c>
      <c r="AI152" s="207">
        <f>INDEX($A$145:$H$158,MATCH($L152,$B$145:$B$158,0),MATCH($AA$144,$A$145:$H$145,0))*고양시_Modal_split!K$3 * 0.01</f>
        <v>19.079704488306085</v>
      </c>
      <c r="AJ152" s="207">
        <f>INDEX($A$145:$H$158,MATCH($L152,$B$145:$B$158,0),MATCH($AA$144,$A$145:$H$145,0))*고양시_Modal_split!L$3 * 0.01</f>
        <v>384.1380503645625</v>
      </c>
      <c r="AK152" s="207">
        <f>INDEX($A$145:$H$158,MATCH($L152,$B$145:$B$158,0),MATCH($AA$144,$A$145:$H$145,0))*고양시_Modal_split!M$3 * 0.01</f>
        <v>29.255546882069329</v>
      </c>
      <c r="AL152" s="207">
        <f>INDEX($A$145:$H$158,MATCH($L152,$B$145:$B$158,0),MATCH($AA$144,$A$145:$H$145,0))*고양시_Modal_split!N$3 * 0.01</f>
        <v>12.719802992204059</v>
      </c>
      <c r="AM152" s="207">
        <f>INDEX($A$145:$H$158,MATCH($L152,$B$145:$B$158,0),MATCH($AA$144,$A$145:$H$145,0))*고양시_Modal_split!O$3 * 0.01</f>
        <v>22.895645385967299</v>
      </c>
      <c r="AN152" s="207">
        <f>INDEX($A$145:$H$158,MATCH($L152,$B$145:$B$158,0),MATCH($AA$144,$A$145:$H$145,0))*고양시_Modal_split!P$3 * 0.01</f>
        <v>12719.802992204059</v>
      </c>
      <c r="AO152" s="303">
        <f>INDEX($A$145:$H$158,MATCH($L152,$B$145:$B$158,0),MATCH($AO$144,$A$145:$H$145,0))*고양시_Modal_split!C$3 * 0.01</f>
        <v>2.0431701178181636</v>
      </c>
      <c r="AP152" s="303">
        <f>INDEX($A$145:$H$158,MATCH($L152,$B$145:$B$158,0),MATCH($AO$144,$A$145:$H$145,0))*고양시_Modal_split!D$3 * 0.01</f>
        <v>343.17960943210085</v>
      </c>
      <c r="AQ152" s="303">
        <f>INDEX($A$145:$H$158,MATCH($L152,$B$145:$B$158,0),MATCH($AO$144,$A$145:$H$145,0))*고양시_Modal_split!E$3 * 0.01</f>
        <v>41.520135608519112</v>
      </c>
      <c r="AR152" s="303">
        <f>INDEX($A$145:$H$158,MATCH($L152,$B$145:$B$158,0),MATCH($AO$144,$A$145:$H$145,0))*고양시_Modal_split!F$3 * 0.01</f>
        <v>66.913821358544865</v>
      </c>
      <c r="AS152" s="303">
        <f>INDEX($A$145:$H$158,MATCH($L152,$B$145:$B$158,0),MATCH($AO$144,$A$145:$H$145,0))*고양시_Modal_split!G$3 * 0.01</f>
        <v>6.713273244259681</v>
      </c>
      <c r="AT152" s="303">
        <f>INDEX($A$145:$H$158,MATCH($L152,$B$145:$B$158,0),MATCH($AO$144,$A$145:$H$145,0))*고양시_Modal_split!H$3 * 0.01</f>
        <v>7.2970361350648702E-2</v>
      </c>
      <c r="AU152" s="303">
        <f>INDEX($A$145:$H$158,MATCH($L152,$B$145:$B$158,0),MATCH($AO$144,$A$145:$H$145,0))*고양시_Modal_split!I$3 * 0.01</f>
        <v>20.285760455480339</v>
      </c>
      <c r="AV152" s="303">
        <f>INDEX($A$145:$H$158,MATCH($L152,$B$145:$B$158,0),MATCH($AO$144,$A$145:$H$145,0))*고양시_Modal_split!J$3 * 0.01</f>
        <v>222.12177995137466</v>
      </c>
      <c r="AW152" s="303">
        <f>INDEX($A$145:$H$158,MATCH($L152,$B$145:$B$158,0),MATCH($AO$144,$A$145:$H$145,0))*고양시_Modal_split!K$3 * 0.01</f>
        <v>1.0945554202597305</v>
      </c>
      <c r="AX152" s="303">
        <f>INDEX($A$145:$H$158,MATCH($L152,$B$145:$B$158,0),MATCH($AO$144,$A$145:$H$145,0))*고양시_Modal_split!L$3 * 0.01</f>
        <v>22.037049127895909</v>
      </c>
      <c r="AY152" s="303">
        <f>INDEX($A$145:$H$158,MATCH($L152,$B$145:$B$158,0),MATCH($AO$144,$A$145:$H$145,0))*고양시_Modal_split!M$3 * 0.01</f>
        <v>1.6783183110649202</v>
      </c>
      <c r="AZ152" s="303">
        <f>INDEX($A$145:$H$158,MATCH($L152,$B$145:$B$158,0),MATCH($AO$144,$A$145:$H$145,0))*고양시_Modal_split!N$3 * 0.01</f>
        <v>0.72970361350648705</v>
      </c>
      <c r="BA152" s="207">
        <f>INDEX($A$145:$H$158,MATCH($L152,$B$145:$B$158,0),MATCH($AO$144,$A$145:$H$145,0))*고양시_Modal_split!O$3 * 0.01</f>
        <v>1.3134665043116767</v>
      </c>
      <c r="BB152" s="207">
        <f>INDEX($A$145:$H$158,MATCH($L152,$B$145:$B$158,0),MATCH($AO$144,$A$145:$H$145,0))*고양시_Modal_split!P$3 * 0.01</f>
        <v>729.70361350648705</v>
      </c>
      <c r="BC152" s="207">
        <f>INDEX($A$145:$H$158,MATCH($L152,$B$145:$B$158,0),MATCH($BC$144,$A$145:$H$145,0))*고양시_Modal_split!C$3 * 0.01</f>
        <v>3.2108487969902916E-3</v>
      </c>
      <c r="BD152" s="207">
        <f>INDEX($A$145:$H$158,MATCH($L152,$B$145:$B$158,0),MATCH($BC$144,$A$145:$H$145,0))*고양시_Modal_split!D$3 * 0.01</f>
        <v>0.539307924723048</v>
      </c>
      <c r="BE152" s="207">
        <f>INDEX($A$145:$H$158,MATCH($L152,$B$145:$B$158,0),MATCH($BC$144,$A$145:$H$145,0))*고양시_Modal_split!E$3 * 0.01</f>
        <v>6.524903448169557E-2</v>
      </c>
      <c r="BF152" s="207">
        <f>INDEX($A$145:$H$158,MATCH($L152,$B$145:$B$158,0),MATCH($BC$144,$A$145:$H$145,0))*고양시_Modal_split!F$3 * 0.01</f>
        <v>0.10515529810143207</v>
      </c>
      <c r="BG152" s="207">
        <f>INDEX($A$145:$H$158,MATCH($L152,$B$145:$B$158,0),MATCH($BC$144,$A$145:$H$145,0))*고양시_Modal_split!G$3 * 0.01</f>
        <v>1.0549931761539531E-2</v>
      </c>
      <c r="BH152" s="207">
        <f>INDEX($A$145:$H$158,MATCH($L152,$B$145:$B$158,0),MATCH($BC$144,$A$145:$H$145,0))*고양시_Modal_split!H$3 * 0.01</f>
        <v>1.1467317132108186E-4</v>
      </c>
      <c r="BI152" s="207">
        <f>INDEX($A$145:$H$158,MATCH($L152,$B$145:$B$158,0),MATCH($BC$144,$A$145:$H$145,0))*고양시_Modal_split!I$3 * 0.01</f>
        <v>3.1879141627260757E-2</v>
      </c>
      <c r="BJ152" s="207">
        <f>INDEX($A$145:$H$158,MATCH($L152,$B$145:$B$158,0),MATCH($BC$144,$A$145:$H$145,0))*고양시_Modal_split!J$3 * 0.01</f>
        <v>0.34906513350137319</v>
      </c>
      <c r="BK152" s="207">
        <f>INDEX($A$145:$H$158,MATCH($L152,$B$145:$B$158,0),MATCH($BC$144,$A$145:$H$145,0))*고양시_Modal_split!K$3 * 0.01</f>
        <v>1.7200975698162277E-3</v>
      </c>
      <c r="BL152" s="207">
        <f>INDEX($A$145:$H$158,MATCH($L152,$B$145:$B$158,0),MATCH($BC$144,$A$145:$H$145,0))*고양시_Modal_split!L$3 * 0.01</f>
        <v>3.463129773896672E-2</v>
      </c>
      <c r="BM152" s="207">
        <f>INDEX($A$145:$H$158,MATCH($L152,$B$145:$B$158,0),MATCH($BC$144,$A$145:$H$145,0))*고양시_Modal_split!M$3 * 0.01</f>
        <v>2.6374829403848828E-3</v>
      </c>
      <c r="BN152" s="207">
        <f>INDEX($A$145:$H$158,MATCH($L152,$B$145:$B$158,0),MATCH($BC$144,$A$145:$H$145,0))*고양시_Modal_split!N$3 * 0.01</f>
        <v>1.1467317132108185E-3</v>
      </c>
      <c r="BO152" s="207">
        <f>INDEX($A$145:$H$158,MATCH($L152,$B$145:$B$158,0),MATCH($BC$144,$A$145:$H$145,0))*고양시_Modal_split!O$3 * 0.01</f>
        <v>2.0641170837794732E-3</v>
      </c>
      <c r="BP152" s="207">
        <f>INDEX($A$145:$H$158,MATCH($L152,$B$145:$B$158,0),MATCH($BC$144,$A$145:$H$145,0))*고양시_Modal_split!P$3 * 0.01</f>
        <v>1.1467317132108186</v>
      </c>
      <c r="BQ152" s="207">
        <f>INDEX($A$145:$H$158,MATCH($L152,$B$145:$B$158,0),MATCH($BQ$144,$A$145:$H$145,0))*고양시_Modal_split!C$3 * 0.01</f>
        <v>1.2129873233074471E-2</v>
      </c>
      <c r="BR152" s="207">
        <f>INDEX($A$145:$H$158,MATCH($L152,$B$145:$B$158,0),MATCH($BQ$144,$A$145:$H$145,0))*고양시_Modal_split!D$3 * 0.01</f>
        <v>2.0373854933981876</v>
      </c>
      <c r="BS152" s="207">
        <f>INDEX($A$145:$H$158,MATCH($L152,$B$145:$B$158,0),MATCH($BQ$144,$A$145:$H$145,0))*고양시_Modal_split!E$3 * 0.01</f>
        <v>0.24649635248640625</v>
      </c>
      <c r="BT152" s="207">
        <f>INDEX($A$145:$H$158,MATCH($L152,$B$145:$B$158,0),MATCH($BQ$144,$A$145:$H$145,0))*고양시_Modal_split!F$3 * 0.01</f>
        <v>0.39725334838318904</v>
      </c>
      <c r="BU152" s="207">
        <f>INDEX($A$145:$H$158,MATCH($L152,$B$145:$B$158,0),MATCH($BQ$144,$A$145:$H$145,0))*고양시_Modal_split!G$3 * 0.01</f>
        <v>3.9855297765816124E-2</v>
      </c>
      <c r="BV152" s="207">
        <f>INDEX($A$145:$H$158,MATCH($L152,$B$145:$B$158,0),MATCH($BQ$144,$A$145:$H$145,0))*고양시_Modal_split!H$3 * 0.01</f>
        <v>4.3320975832408836E-4</v>
      </c>
      <c r="BW152" s="207">
        <f>INDEX($A$145:$H$158,MATCH($L152,$B$145:$B$158,0),MATCH($BQ$144,$A$145:$H$145,0))*고양시_Modal_split!I$3 * 0.01</f>
        <v>0.12043231281409655</v>
      </c>
      <c r="BX152" s="207">
        <f>INDEX($A$145:$H$158,MATCH($L152,$B$145:$B$158,0),MATCH($BQ$144,$A$145:$H$145,0))*고양시_Modal_split!J$3 * 0.01</f>
        <v>1.3186905043385249</v>
      </c>
      <c r="BY152" s="207">
        <f>INDEX($A$145:$H$158,MATCH($L152,$B$145:$B$158,0),MATCH($BQ$144,$A$145:$H$145,0))*고양시_Modal_split!K$3 * 0.01</f>
        <v>6.4981463748613249E-3</v>
      </c>
      <c r="BZ152" s="207">
        <f>INDEX($A$145:$H$158,MATCH($L152,$B$145:$B$158,0),MATCH($BQ$144,$A$145:$H$145,0))*고양시_Modal_split!L$3 * 0.01</f>
        <v>0.13082934701387466</v>
      </c>
      <c r="CA152" s="207">
        <f>INDEX($A$145:$H$158,MATCH($L152,$B$145:$B$158,0),MATCH($BQ$144,$A$145:$H$145,0))*고양시_Modal_split!M$3 * 0.01</f>
        <v>9.9638244414540309E-3</v>
      </c>
      <c r="CB152" s="207">
        <f>INDEX($A$145:$H$158,MATCH($L152,$B$145:$B$158,0),MATCH($BQ$144,$A$145:$H$145,0))*고양시_Modal_split!N$3 * 0.01</f>
        <v>4.3320975832408836E-3</v>
      </c>
      <c r="CC152" s="207">
        <f>INDEX($A$145:$H$158,MATCH($L152,$B$145:$B$158,0),MATCH($BQ$144,$A$145:$H$145,0))*고양시_Modal_split!O$3 * 0.01</f>
        <v>7.7977756498335896E-3</v>
      </c>
      <c r="CD152" s="207">
        <f>INDEX($A$145:$H$158,MATCH($L152,$B$145:$B$158,0),MATCH($BQ$144,$A$145:$H$145,0))*고양시_Modal_split!P$3 * 0.01</f>
        <v>4.3320975832408832</v>
      </c>
      <c r="CE152" s="304">
        <f t="shared" si="84"/>
        <v>42.595120140873384</v>
      </c>
      <c r="CF152" s="304">
        <f t="shared" si="64"/>
        <v>7154.4589293759827</v>
      </c>
      <c r="CG152" s="304">
        <f t="shared" si="65"/>
        <v>865.59369143417689</v>
      </c>
      <c r="CH152" s="304">
        <f t="shared" si="66"/>
        <v>1394.9901846136033</v>
      </c>
      <c r="CI152" s="304">
        <f t="shared" si="67"/>
        <v>139.95539474858398</v>
      </c>
      <c r="CJ152" s="304">
        <f t="shared" si="68"/>
        <v>1.5212542907454782</v>
      </c>
      <c r="CK152" s="304">
        <f t="shared" si="69"/>
        <v>422.90869282724287</v>
      </c>
      <c r="CL152" s="304">
        <f t="shared" si="70"/>
        <v>4630.6980610292349</v>
      </c>
      <c r="CM152" s="304">
        <f t="shared" si="71"/>
        <v>22.818814361182174</v>
      </c>
      <c r="CN152" s="304">
        <f t="shared" si="72"/>
        <v>459.41879580513438</v>
      </c>
      <c r="CO152" s="304">
        <f t="shared" si="73"/>
        <v>34.988848687145996</v>
      </c>
      <c r="CP152" s="304">
        <f t="shared" si="74"/>
        <v>15.212542907454784</v>
      </c>
      <c r="CQ152" s="304">
        <f t="shared" si="75"/>
        <v>27.382577233418605</v>
      </c>
      <c r="CR152" s="304">
        <f t="shared" si="76"/>
        <v>15212.542907454781</v>
      </c>
      <c r="CS152" s="305">
        <f t="shared" si="85"/>
        <v>0</v>
      </c>
      <c r="CV152" s="267"/>
      <c r="CW152" s="267" t="s">
        <v>301</v>
      </c>
      <c r="CX152" s="267">
        <f>INDEX($M$144:$Z$158,MATCH($CW152,$L$144:$L$158,0),MATCH(CX$145,$M$145:$Z$145,0))/INDEX(고양시_재차인원!$D$4:$H$35,MATCH("고양시",고양시_재차인원!$B$4:$B$35,0),MATCH($CX$144,고양시_재차인원!$D$4:$H$4,0))</f>
        <v>738.01721365374408</v>
      </c>
      <c r="CY152" s="267">
        <f>INDEX($M$144:$Z$158,MATCH($CW152,$L$144:$L$158,0),MATCH(CY$145,$M$145:$Z$145,0))/INDEX(고양시_재차인원!$K$4:$O$20,MATCH("경기도",고양시_재차인원!$K$4:$K$20,0),MATCH(CY$145,고양시_재차인원!$K$4:$O$4,0))</f>
        <v>6.1047498174636528E-3</v>
      </c>
      <c r="CZ152" s="267">
        <f>INDEX($M$144:$Z$158,MATCH($CW152,$L$144:$L$158,0),MATCH(CZ$145,$M$145:$Z$145,0))/INDEX(고양시_재차인원!$K$4:$O$20,MATCH("경기도",고양시_재차인원!$K$4:$K$20,0),MATCH(CZ$145,고양시_재차인원!$K$4:$O$4,0))</f>
        <v>1.697120449254895</v>
      </c>
      <c r="DA152" s="267">
        <f>INDEX($M$144:$Z$158,MATCH($CW152,$L$144:$L$158,0),MATCH(DA$145,$M$145:$Z$145,0))/INDEX(고양시_재차인원!$D$4:$H$35,MATCH("고양시",고양시_재차인원!$B$4:$B$35,0),MATCH($CX$144,고양시_재차인원!$D$4:$H$4,0))</f>
        <v>47.391281846359917</v>
      </c>
      <c r="DB152" s="267">
        <f>INDEX($AA$144:$AN$158,MATCH($CW152,$L$144:$L$158,0),MATCH(DB$145,$AA$145:$AN$145,0))/INDEX(고양시_재차인원!$D$4:$H$35,MATCH("고양시",고양시_재차인원!$B$4:$B$35,0),MATCH($DB$144,고양시_재차인원!$D$4:$H$4,0))</f>
        <v>4242.6406717968566</v>
      </c>
      <c r="DC152" s="267">
        <f>INDEX($AA$144:$AN$158,MATCH($CW152,$L$144:$L$158,0),MATCH(DC$145,$AA$145:$AN$145,0))/INDEX(고양시_재차인원!$K$4:$O$20,MATCH("경기도",고양시_재차인원!$K$4:$K$20,0),MATCH(DC$145,고양시_재차인원!$K$4:$O$4,0))</f>
        <v>4.4181323349093631E-2</v>
      </c>
      <c r="DD152" s="267">
        <f>INDEX($AA$144:$AN$158,MATCH($CW152,$L$144:$L$158,0),MATCH(DD$145,$AA$145:$AN$145,0))/INDEX(고양시_재차인원!$K$4:$O$20,MATCH("경기도",고양시_재차인원!$K$4:$K$20,0),MATCH(DD$145,고양시_재차인원!$K$4:$O$4,0))</f>
        <v>12.282407891048029</v>
      </c>
      <c r="DE152" s="267">
        <f>INDEX($AA$144:$AN$158,MATCH($CW152,$L$144:$L$158,0),MATCH(DE$145,$AA$145:$AN$145,0))/INDEX(고양시_재차인원!$D$4:$H$35,MATCH("고양시",고양시_재차인원!$B$4:$B$35,0),MATCH($DB$144,고양시_재차인원!$D$4:$H$4,0))</f>
        <v>272.43833359188829</v>
      </c>
      <c r="DF152" s="267">
        <f>INDEX($AO$144:$BB$158,MATCH($CW152,$L$144:$L$158,0),MATCH(DF$145,$AO$145:$BB$145,0))/INDEX(고양시_재차인원!$D$4:$H$35,MATCH("고양시",고양시_재차인원!$B$4:$B$35,0),MATCH($DF$144,고양시_재차인원!$D$4:$H$4,0))</f>
        <v>263.98431494776986</v>
      </c>
      <c r="DG152" s="267">
        <f>INDEX($AO$144:$BB$158,MATCH($CW152,$L$144:$L$158,0),MATCH(DG$145,$AO$145:$BB$145,0))/INDEX(고양시_재차인원!$K$4:$O$20,MATCH("경기도",고양시_재차인원!$K$4:$K$20,0),MATCH(DG$145,고양시_재차인원!$K$4:$O$4,0))</f>
        <v>2.5345731625789755E-3</v>
      </c>
      <c r="DH152" s="267">
        <f>INDEX($AO$144:$BB$158,MATCH($CW152,$L$144:$L$158,0),MATCH(DH$145,$AO$145:$BB$145,0))/INDEX(고양시_재차인원!$K$4:$O$20,MATCH("경기도",고양시_재차인원!$K$4:$K$20,0),MATCH(DH$145,고양시_재차인원!$K$4:$O$4,0))</f>
        <v>0.70461133919695518</v>
      </c>
      <c r="DI152" s="267">
        <f>INDEX($AO$144:$BB$158,MATCH($CW152,$L$144:$L$158,0),MATCH(DI$145,$AO$145:$BB$145,0))/INDEX(고양시_재차인원!$D$4:$H$35,MATCH("고양시",고양시_재차인원!$B$4:$B$35,0),MATCH($DF$144,고양시_재차인원!$D$4:$H$4,0))</f>
        <v>16.951576252227621</v>
      </c>
      <c r="DJ152" s="267">
        <f>INDEX($BC$144:$BP$158,MATCH($CW152,$L$144:$L$158,0),MATCH(DJ$145,$BC$145:$BP$145,0))/INDEX(고양시_재차인원!$D$4:$H$35,MATCH("고양시",고양시_재차인원!$B$4:$B$35,0),MATCH($DJ$144,고양시_재차인원!$D$4:$H$4,0))</f>
        <v>0.39654994464929999</v>
      </c>
      <c r="DK152" s="267">
        <f>INDEX($BC$144:$BP$158,MATCH($CW152,$L$144:$L$158,0),MATCH(DK$145,$BC$145:$BP$145,0))/INDEX(고양시_재차인원!$K$4:$O$20,MATCH("경기도",고양시_재차인원!$K$4:$K$20,0),MATCH(DK$145,고양시_재차인원!$K$4:$O$4,0))</f>
        <v>3.9830903550219473E-6</v>
      </c>
      <c r="DL152" s="267">
        <f>INDEX($BC$144:$BP$158,MATCH($CW152,$L$144:$L$158,0),MATCH(DL$145,$BC$145:$BP$145,0))/INDEX(고양시_재차인원!$K$4:$O$20,MATCH("경기도",고양시_재차인원!$K$4:$K$20,0),MATCH(DL$145,고양시_재차인원!$K$4:$O$4,0))</f>
        <v>1.1072991186961013E-3</v>
      </c>
      <c r="DM152" s="267">
        <f>INDEX($BC$144:$BP$158,MATCH($CW152,$L$144:$L$158,0),MATCH(DM$145,$BC$145:$BP$145,0))/INDEX(고양시_재차인원!$D$4:$H$35,MATCH("고양시",고양시_재차인원!$B$4:$B$35,0),MATCH($DJ$144,고양시_재차인원!$D$4:$H$4,0))</f>
        <v>2.5464189513946116E-2</v>
      </c>
      <c r="DN152" s="267">
        <f>INDEX($BQ$144:$CD$158,MATCH($CW152,$L$144:$L$158,0),MATCH(DN$145,$BQ$145:$CD$145,0))/INDEX(고양시_재차인원!$D$4:$H$35,MATCH("고양시",고양시_재차인원!$B$4:$B$35,0),MATCH($DN$144,고양시_재차인원!$D$4:$H$4,0))</f>
        <v>1.6169726138080853</v>
      </c>
      <c r="DO152" s="267">
        <f>INDEX($BQ$144:$CD$158,MATCH($CW152,$L$144:$L$158,0),MATCH(DO$145,$BQ$145:$CD$145,0))/INDEX(고양시_재차인원!$K$4:$O$20,MATCH("경기도",고양시_재차인원!$K$4:$K$20,0),MATCH(DO$145,고양시_재차인원!$K$4:$O$4,0))</f>
        <v>1.5047230230082959E-5</v>
      </c>
      <c r="DP152" s="267">
        <f>INDEX($BQ$144:$CD$158,MATCH($CW152,$L$144:$L$158,0),MATCH(DP$145,$BQ$145:$CD$145,0))/INDEX(고양시_재차인원!$K$4:$O$20,MATCH("경기도",고양시_재차인원!$K$4:$K$20,0),MATCH(DP$145,고양시_재차인원!$K$4:$O$4,0))</f>
        <v>4.1831300039630618E-3</v>
      </c>
      <c r="DQ152" s="267">
        <f>INDEX($BQ$144:$CD$158,MATCH($CW152,$L$144:$L$158,0),MATCH(DQ$145,$BQ$145:$CD$145,0))/INDEX(고양시_재차인원!$D$4:$H$35,MATCH("고양시",고양시_재차인원!$B$4:$B$35,0),MATCH($DN$144,고양시_재차인원!$D$4:$H$4,0))</f>
        <v>0.10383281509037671</v>
      </c>
      <c r="DR152" s="270">
        <f t="shared" si="86"/>
        <v>5246.655722956828</v>
      </c>
      <c r="DS152" s="270">
        <f t="shared" si="77"/>
        <v>5.2839676649721362E-2</v>
      </c>
      <c r="DT152" s="270">
        <f t="shared" si="78"/>
        <v>14.689430108622537</v>
      </c>
      <c r="DU152" s="270">
        <f t="shared" si="79"/>
        <v>336.91048869508012</v>
      </c>
      <c r="DW152" s="278"/>
      <c r="DX152" s="278" t="s">
        <v>301</v>
      </c>
      <c r="DY152" s="281">
        <f t="shared" si="87"/>
        <v>5583.5662116519079</v>
      </c>
      <c r="DZ152" s="281">
        <f t="shared" si="88"/>
        <v>14.742269785272258</v>
      </c>
      <c r="EB152" s="278"/>
      <c r="EC152" s="278" t="s">
        <v>301</v>
      </c>
      <c r="ED152" s="281">
        <f t="shared" si="89"/>
        <v>5583.5662116519079</v>
      </c>
      <c r="EE152" s="281">
        <f t="shared" si="80"/>
        <v>14.742269785272258</v>
      </c>
      <c r="EL152" s="306" t="s">
        <v>12</v>
      </c>
      <c r="EM152" s="306" t="s">
        <v>363</v>
      </c>
      <c r="EN152" s="306">
        <v>10963.124400000001</v>
      </c>
      <c r="EO152" s="306">
        <v>0.16368976107840044</v>
      </c>
      <c r="EP152" s="307">
        <v>849107</v>
      </c>
      <c r="EQ152" s="308">
        <f t="shared" si="90"/>
        <v>33.84966167580442</v>
      </c>
      <c r="ER152" s="308">
        <f t="shared" si="91"/>
        <v>8.9373139969851564E-2</v>
      </c>
      <c r="ET152" s="420" t="s">
        <v>12</v>
      </c>
      <c r="EU152" s="420" t="s">
        <v>363</v>
      </c>
      <c r="EV152" s="420">
        <v>10963.124400000001</v>
      </c>
      <c r="EW152" s="420">
        <v>0.16368976107840044</v>
      </c>
      <c r="EX152" s="421">
        <v>849107</v>
      </c>
      <c r="EY152" s="422">
        <f t="shared" si="92"/>
        <v>32.884946318043994</v>
      </c>
      <c r="EZ152" s="422">
        <f t="shared" si="81"/>
        <v>8.6826005480710802E-2</v>
      </c>
      <c r="FA152">
        <v>0</v>
      </c>
      <c r="FD152" s="306" t="s">
        <v>12</v>
      </c>
      <c r="FE152" s="306" t="s">
        <v>363</v>
      </c>
      <c r="FF152" s="306">
        <v>10963.124400000001</v>
      </c>
      <c r="FG152" s="306">
        <v>0.16368976107840044</v>
      </c>
      <c r="FH152" s="307">
        <v>849107</v>
      </c>
      <c r="FI152" s="308">
        <f t="shared" si="82"/>
        <v>32.884946318043994</v>
      </c>
      <c r="FJ152" s="308">
        <f t="shared" si="83"/>
        <v>8.6826005480710802E-2</v>
      </c>
      <c r="FL152" s="101"/>
      <c r="FM152" s="101"/>
      <c r="FN152" s="101"/>
      <c r="FO152" s="101"/>
      <c r="FP152" s="374"/>
      <c r="FQ152" s="404"/>
      <c r="FR152" s="404"/>
    </row>
    <row r="153" spans="1:174">
      <c r="A153" s="205"/>
      <c r="B153" s="205" t="s">
        <v>302</v>
      </c>
      <c r="C153" s="400">
        <f>$AB68*KTDB_TripDistribution_2035!T$12 * (1+KTDB_발생량도착량_증가율!$C$7*2) * (1+KTDB_발생량도착량_증가율!$D$8*5)* (1+KTDB_발생량도착량_증가율!$E$8*5)</f>
        <v>20.944384291060356</v>
      </c>
      <c r="D153" s="400">
        <f>$AB68*KTDB_TripDistribution_2035!U$12 * (1+KTDB_발생량도착량_증가율!$C$7*2) * (1+KTDB_발생량도착량_증가율!$D$8*5)* (1+KTDB_발생량도착량_증가율!$E$8*5)</f>
        <v>151.57879395219371</v>
      </c>
      <c r="E153" s="400">
        <f>$AB68*KTDB_TripDistribution_2035!V$12 * (1+KTDB_발생량도착량_증가율!$C$7*2) * (1+KTDB_발생량도착량_증가율!$D$8*5)* (1+KTDB_발생량도착량_증가율!$E$8*5)</f>
        <v>8.6957002200161586</v>
      </c>
      <c r="F153" s="400">
        <f>$AB68*KTDB_TripDistribution_2035!W$12 * (1+KTDB_발생량도착량_증가율!$C$7*2) * (1+KTDB_발생량도착량_증가율!$D$8*5)* (1+KTDB_발생량도착량_증가율!$E$8*5)</f>
        <v>1.3665322503954096E-2</v>
      </c>
      <c r="G153" s="400">
        <f>$AB68*KTDB_TripDistribution_2035!X$12 * (1+KTDB_발생량도착량_증가율!$C$7*2) * (1+KTDB_발생량도착량_증가율!$D$8*5)* (1+KTDB_발생량도착량_증가율!$E$8*5)</f>
        <v>5.1624551681604527E-2</v>
      </c>
      <c r="H153" s="400">
        <f>$AB68*KTDB_TripDistribution_2035!Y$12 * (1+KTDB_발생량도착량_증가율!$C$7*2) * (1+KTDB_발생량도착량_증가율!$D$8*5)* (1+KTDB_발생량도착량_증가율!$E$8*5)</f>
        <v>181.28416833745575</v>
      </c>
      <c r="I153" s="56"/>
      <c r="J153" s="56"/>
      <c r="K153" s="206"/>
      <c r="L153" s="206" t="s">
        <v>302</v>
      </c>
      <c r="M153" s="206">
        <f>INDEX($A$145:$H$158,MATCH($L153,$B$145:$B$158,0),MATCH($M$144,$A$145:$H$145,0))*고양시_Modal_split!C$3 * 0.01</f>
        <v>5.8644276014968987E-2</v>
      </c>
      <c r="N153" s="206">
        <f>INDEX($A$145:$H$158,MATCH($L153,$B$145:$B$158,0),MATCH($M$144,$A$145:$H$145,0))*고양시_Modal_split!D$3 * 0.01</f>
        <v>9.8501439320856861</v>
      </c>
      <c r="O153" s="206">
        <f>INDEX($A$145:$H$158,MATCH($L153,$B$145:$B$158,0),MATCH($M$144,$A$145:$H$145,0))*고양시_Modal_split!E$3 * 0.01</f>
        <v>1.1917354661613342</v>
      </c>
      <c r="P153" s="206">
        <f>INDEX($A$145:$H$158,MATCH($L153,$B$145:$B$158,0),MATCH($M$144,$A$145:$H$145,0))*고양시_Modal_split!F$3 * 0.01</f>
        <v>1.9206000394902347</v>
      </c>
      <c r="Q153" s="206">
        <f>INDEX($A$145:$H$158,MATCH($L153,$B$145:$B$158,0),MATCH($M$144,$A$145:$H$145,0))*고양시_Modal_split!G$3 * 0.01</f>
        <v>0.19268833547775527</v>
      </c>
      <c r="R153" s="206">
        <f>INDEX($A$145:$H$158,MATCH($L153,$B$145:$B$158,0),MATCH($M$144,$A$145:$H$145,0))*고양시_Modal_split!H$3 * 0.01</f>
        <v>2.0944384291060355E-3</v>
      </c>
      <c r="S153" s="206">
        <f>INDEX($A$145:$H$158,MATCH($L153,$B$145:$B$158,0),MATCH($M$144,$A$145:$H$145,0))*고양시_Modal_split!I$3 * 0.01</f>
        <v>0.58225388329147787</v>
      </c>
      <c r="T153" s="206">
        <f>INDEX($A$145:$H$158,MATCH($L153,$B$145:$B$158,0),MATCH($M$144,$A$145:$H$145,0))*고양시_Modal_split!J$3 * 0.01</f>
        <v>6.3754705781987733</v>
      </c>
      <c r="U153" s="206">
        <f>INDEX($A$145:$H$158,MATCH($L153,$B$145:$B$158,0),MATCH($M$144,$A$145:$H$145,0))*고양시_Modal_split!K$3 * 0.01</f>
        <v>3.1416576436590529E-2</v>
      </c>
      <c r="V153" s="206">
        <f>INDEX($A$145:$H$158,MATCH($L153,$B$145:$B$158,0),MATCH($M$144,$A$145:$H$145,0))*고양시_Modal_split!L$3 * 0.01</f>
        <v>0.63252040559002276</v>
      </c>
      <c r="W153" s="206">
        <f>INDEX($A$145:$H$158,MATCH($L153,$B$145:$B$158,0),MATCH($M$144,$A$145:$H$145,0))*고양시_Modal_split!M$3 * 0.01</f>
        <v>4.8172083869438817E-2</v>
      </c>
      <c r="X153" s="206">
        <f>INDEX($A$145:$H$158,MATCH($L153,$B$145:$B$158,0),MATCH($M$144,$A$145:$H$145,0))*고양시_Modal_split!N$3 * 0.01</f>
        <v>2.094438429106036E-2</v>
      </c>
      <c r="Y153" s="206">
        <f>INDEX($A$145:$H$158,MATCH($L153,$B$145:$B$158,0),MATCH($M$144,$A$145:$H$145,0))*고양시_Modal_split!O$3 * 0.01</f>
        <v>3.7699891723908641E-2</v>
      </c>
      <c r="Z153" s="209">
        <f>INDEX($A$145:$H$158,MATCH($L153,$B$145:$B$158,0),MATCH($M$144,$A$145:$H$145,0))*고양시_Modal_split!P$3 * 0.01</f>
        <v>20.944384291060356</v>
      </c>
      <c r="AA153" s="207">
        <f>INDEX($A$145:$H$158,MATCH($L153,$B$145:$B$158,0),MATCH($AA$144,$A$145:$H$145,0))*고양시_Modal_split!C$3 * 0.01</f>
        <v>0.42442062306614231</v>
      </c>
      <c r="AB153" s="207">
        <f>INDEX($A$145:$H$158,MATCH($L153,$B$145:$B$158,0),MATCH($AA$144,$A$145:$H$145,0))*고양시_Modal_split!D$3 * 0.01</f>
        <v>71.287506795716695</v>
      </c>
      <c r="AC153" s="207">
        <f>INDEX($A$145:$H$158,MATCH($L153,$B$145:$B$158,0),MATCH($AA$144,$A$145:$H$145,0))*고양시_Modal_split!E$3 * 0.01</f>
        <v>8.6248333758798204</v>
      </c>
      <c r="AD153" s="207">
        <f>INDEX($A$145:$H$158,MATCH($L153,$B$145:$B$158,0),MATCH($AA$144,$A$145:$H$145,0))*고양시_Modal_split!F$3 * 0.01</f>
        <v>13.899775405416163</v>
      </c>
      <c r="AE153" s="207">
        <f>INDEX($A$145:$H$158,MATCH($L153,$B$145:$B$158,0),MATCH($AA$144,$A$145:$H$145,0))*고양시_Modal_split!G$3 * 0.01</f>
        <v>1.3945249043601819</v>
      </c>
      <c r="AF153" s="207">
        <f>INDEX($A$145:$H$158,MATCH($L153,$B$145:$B$158,0),MATCH($AA$144,$A$145:$H$145,0))*고양시_Modal_split!H$3 * 0.01</f>
        <v>1.5157879395219372E-2</v>
      </c>
      <c r="AG153" s="207">
        <f>INDEX($A$145:$H$158,MATCH($L153,$B$145:$B$158,0),MATCH($AA$144,$A$145:$H$145,0))*고양시_Modal_split!I$3 * 0.01</f>
        <v>4.2138904718709851</v>
      </c>
      <c r="AH153" s="207">
        <f>INDEX($A$145:$H$158,MATCH($L153,$B$145:$B$158,0),MATCH($AA$144,$A$145:$H$145,0))*고양시_Modal_split!J$3 * 0.01</f>
        <v>46.140584879047765</v>
      </c>
      <c r="AI153" s="207">
        <f>INDEX($A$145:$H$158,MATCH($L153,$B$145:$B$158,0),MATCH($AA$144,$A$145:$H$145,0))*고양시_Modal_split!K$3 * 0.01</f>
        <v>0.22736819092829055</v>
      </c>
      <c r="AJ153" s="207">
        <f>INDEX($A$145:$H$158,MATCH($L153,$B$145:$B$158,0),MATCH($AA$144,$A$145:$H$145,0))*고양시_Modal_split!L$3 * 0.01</f>
        <v>4.5776795773562498</v>
      </c>
      <c r="AK153" s="207">
        <f>INDEX($A$145:$H$158,MATCH($L153,$B$145:$B$158,0),MATCH($AA$144,$A$145:$H$145,0))*고양시_Modal_split!M$3 * 0.01</f>
        <v>0.34863122609004549</v>
      </c>
      <c r="AL153" s="207">
        <f>INDEX($A$145:$H$158,MATCH($L153,$B$145:$B$158,0),MATCH($AA$144,$A$145:$H$145,0))*고양시_Modal_split!N$3 * 0.01</f>
        <v>0.15157879395219373</v>
      </c>
      <c r="AM153" s="207">
        <f>INDEX($A$145:$H$158,MATCH($L153,$B$145:$B$158,0),MATCH($AA$144,$A$145:$H$145,0))*고양시_Modal_split!O$3 * 0.01</f>
        <v>0.27284182911394866</v>
      </c>
      <c r="AN153" s="207">
        <f>INDEX($A$145:$H$158,MATCH($L153,$B$145:$B$158,0),MATCH($AA$144,$A$145:$H$145,0))*고양시_Modal_split!P$3 * 0.01</f>
        <v>151.57879395219371</v>
      </c>
      <c r="AO153" s="303">
        <f>INDEX($A$145:$H$158,MATCH($L153,$B$145:$B$158,0),MATCH($AO$144,$A$145:$H$145,0))*고양시_Modal_split!C$3 * 0.01</f>
        <v>2.4347960616045241E-2</v>
      </c>
      <c r="AP153" s="303">
        <f>INDEX($A$145:$H$158,MATCH($L153,$B$145:$B$158,0),MATCH($AO$144,$A$145:$H$145,0))*고양시_Modal_split!D$3 * 0.01</f>
        <v>4.0895878134735995</v>
      </c>
      <c r="AQ153" s="303">
        <f>INDEX($A$145:$H$158,MATCH($L153,$B$145:$B$158,0),MATCH($AO$144,$A$145:$H$145,0))*고양시_Modal_split!E$3 * 0.01</f>
        <v>0.49478534251891937</v>
      </c>
      <c r="AR153" s="303">
        <f>INDEX($A$145:$H$158,MATCH($L153,$B$145:$B$158,0),MATCH($AO$144,$A$145:$H$145,0))*고양시_Modal_split!F$3 * 0.01</f>
        <v>0.79739571017548172</v>
      </c>
      <c r="AS153" s="303">
        <f>INDEX($A$145:$H$158,MATCH($L153,$B$145:$B$158,0),MATCH($AO$144,$A$145:$H$145,0))*고양시_Modal_split!G$3 * 0.01</f>
        <v>8.000044202414866E-2</v>
      </c>
      <c r="AT153" s="303">
        <f>INDEX($A$145:$H$158,MATCH($L153,$B$145:$B$158,0),MATCH($AO$144,$A$145:$H$145,0))*고양시_Modal_split!H$3 * 0.01</f>
        <v>8.6957002200161587E-4</v>
      </c>
      <c r="AU153" s="303">
        <f>INDEX($A$145:$H$158,MATCH($L153,$B$145:$B$158,0),MATCH($AO$144,$A$145:$H$145,0))*고양시_Modal_split!I$3 * 0.01</f>
        <v>0.2417404661164492</v>
      </c>
      <c r="AV153" s="303">
        <f>INDEX($A$145:$H$158,MATCH($L153,$B$145:$B$158,0),MATCH($AO$144,$A$145:$H$145,0))*고양시_Modal_split!J$3 * 0.01</f>
        <v>2.6469711469729185</v>
      </c>
      <c r="AW153" s="303">
        <f>INDEX($A$145:$H$158,MATCH($L153,$B$145:$B$158,0),MATCH($AO$144,$A$145:$H$145,0))*고양시_Modal_split!K$3 * 0.01</f>
        <v>1.3043550330024238E-2</v>
      </c>
      <c r="AX153" s="303">
        <f>INDEX($A$145:$H$158,MATCH($L153,$B$145:$B$158,0),MATCH($AO$144,$A$145:$H$145,0))*고양시_Modal_split!L$3 * 0.01</f>
        <v>0.26261014664448801</v>
      </c>
      <c r="AY153" s="303">
        <f>INDEX($A$145:$H$158,MATCH($L153,$B$145:$B$158,0),MATCH($AO$144,$A$145:$H$145,0))*고양시_Modal_split!M$3 * 0.01</f>
        <v>2.0000110506037165E-2</v>
      </c>
      <c r="AZ153" s="303">
        <f>INDEX($A$145:$H$158,MATCH($L153,$B$145:$B$158,0),MATCH($AO$144,$A$145:$H$145,0))*고양시_Modal_split!N$3 * 0.01</f>
        <v>8.6957002200161587E-3</v>
      </c>
      <c r="BA153" s="207">
        <f>INDEX($A$145:$H$158,MATCH($L153,$B$145:$B$158,0),MATCH($AO$144,$A$145:$H$145,0))*고양시_Modal_split!O$3 * 0.01</f>
        <v>1.5652260396029086E-2</v>
      </c>
      <c r="BB153" s="207">
        <f>INDEX($A$145:$H$158,MATCH($L153,$B$145:$B$158,0),MATCH($AO$144,$A$145:$H$145,0))*고양시_Modal_split!P$3 * 0.01</f>
        <v>8.6957002200161586</v>
      </c>
      <c r="BC153" s="207">
        <f>INDEX($A$145:$H$158,MATCH($L153,$B$145:$B$158,0),MATCH($BC$144,$A$145:$H$145,0))*고양시_Modal_split!C$3 * 0.01</f>
        <v>3.8262903011071463E-5</v>
      </c>
      <c r="BD153" s="207">
        <f>INDEX($A$145:$H$158,MATCH($L153,$B$145:$B$158,0),MATCH($BC$144,$A$145:$H$145,0))*고양시_Modal_split!D$3 * 0.01</f>
        <v>6.4268011736096121E-3</v>
      </c>
      <c r="BE153" s="207">
        <f>INDEX($A$145:$H$158,MATCH($L153,$B$145:$B$158,0),MATCH($BC$144,$A$145:$H$145,0))*고양시_Modal_split!E$3 * 0.01</f>
        <v>7.7755685047498806E-4</v>
      </c>
      <c r="BF153" s="207">
        <f>INDEX($A$145:$H$158,MATCH($L153,$B$145:$B$158,0),MATCH($BC$144,$A$145:$H$145,0))*고양시_Modal_split!F$3 * 0.01</f>
        <v>1.2531100736125906E-3</v>
      </c>
      <c r="BG153" s="207">
        <f>INDEX($A$145:$H$158,MATCH($L153,$B$145:$B$158,0),MATCH($BC$144,$A$145:$H$145,0))*고양시_Modal_split!G$3 * 0.01</f>
        <v>1.2572096703637769E-4</v>
      </c>
      <c r="BH153" s="207">
        <f>INDEX($A$145:$H$158,MATCH($L153,$B$145:$B$158,0),MATCH($BC$144,$A$145:$H$145,0))*고양시_Modal_split!H$3 * 0.01</f>
        <v>1.3665322503954096E-6</v>
      </c>
      <c r="BI153" s="207">
        <f>INDEX($A$145:$H$158,MATCH($L153,$B$145:$B$158,0),MATCH($BC$144,$A$145:$H$145,0))*고양시_Modal_split!I$3 * 0.01</f>
        <v>3.7989596560992388E-4</v>
      </c>
      <c r="BJ153" s="207">
        <f>INDEX($A$145:$H$158,MATCH($L153,$B$145:$B$158,0),MATCH($BC$144,$A$145:$H$145,0))*고양시_Modal_split!J$3 * 0.01</f>
        <v>4.1597241702036273E-3</v>
      </c>
      <c r="BK153" s="207">
        <f>INDEX($A$145:$H$158,MATCH($L153,$B$145:$B$158,0),MATCH($BC$144,$A$145:$H$145,0))*고양시_Modal_split!K$3 * 0.01</f>
        <v>2.0497983755931141E-5</v>
      </c>
      <c r="BL153" s="207">
        <f>INDEX($A$145:$H$158,MATCH($L153,$B$145:$B$158,0),MATCH($BC$144,$A$145:$H$145,0))*고양시_Modal_split!L$3 * 0.01</f>
        <v>4.1269273961941371E-4</v>
      </c>
      <c r="BM153" s="207">
        <f>INDEX($A$145:$H$158,MATCH($L153,$B$145:$B$158,0),MATCH($BC$144,$A$145:$H$145,0))*고양시_Modal_split!M$3 * 0.01</f>
        <v>3.1430241759094422E-5</v>
      </c>
      <c r="BN153" s="207">
        <f>INDEX($A$145:$H$158,MATCH($L153,$B$145:$B$158,0),MATCH($BC$144,$A$145:$H$145,0))*고양시_Modal_split!N$3 * 0.01</f>
        <v>1.3665322503954096E-5</v>
      </c>
      <c r="BO153" s="207">
        <f>INDEX($A$145:$H$158,MATCH($L153,$B$145:$B$158,0),MATCH($BC$144,$A$145:$H$145,0))*고양시_Modal_split!O$3 * 0.01</f>
        <v>2.4597580507117374E-5</v>
      </c>
      <c r="BP153" s="207">
        <f>INDEX($A$145:$H$158,MATCH($L153,$B$145:$B$158,0),MATCH($BC$144,$A$145:$H$145,0))*고양시_Modal_split!P$3 * 0.01</f>
        <v>1.3665322503954096E-2</v>
      </c>
      <c r="BQ153" s="207">
        <f>INDEX($A$145:$H$158,MATCH($L153,$B$145:$B$158,0),MATCH($BQ$144,$A$145:$H$145,0))*고양시_Modal_split!C$3 * 0.01</f>
        <v>1.4454874470849267E-4</v>
      </c>
      <c r="BR153" s="207">
        <f>INDEX($A$145:$H$158,MATCH($L153,$B$145:$B$158,0),MATCH($BQ$144,$A$145:$H$145,0))*고양시_Modal_split!D$3 * 0.01</f>
        <v>2.4279026655858613E-2</v>
      </c>
      <c r="BS153" s="207">
        <f>INDEX($A$145:$H$158,MATCH($L153,$B$145:$B$158,0),MATCH($BQ$144,$A$145:$H$145,0))*고양시_Modal_split!E$3 * 0.01</f>
        <v>2.9374369906832974E-3</v>
      </c>
      <c r="BT153" s="207">
        <f>INDEX($A$145:$H$158,MATCH($L153,$B$145:$B$158,0),MATCH($BQ$144,$A$145:$H$145,0))*고양시_Modal_split!F$3 * 0.01</f>
        <v>4.733971389203135E-3</v>
      </c>
      <c r="BU153" s="207">
        <f>INDEX($A$145:$H$158,MATCH($L153,$B$145:$B$158,0),MATCH($BQ$144,$A$145:$H$145,0))*고양시_Modal_split!G$3 * 0.01</f>
        <v>4.7494587547076159E-4</v>
      </c>
      <c r="BV153" s="207">
        <f>INDEX($A$145:$H$158,MATCH($L153,$B$145:$B$158,0),MATCH($BQ$144,$A$145:$H$145,0))*고양시_Modal_split!H$3 * 0.01</f>
        <v>5.1624551681604527E-6</v>
      </c>
      <c r="BW153" s="207">
        <f>INDEX($A$145:$H$158,MATCH($L153,$B$145:$B$158,0),MATCH($BQ$144,$A$145:$H$145,0))*고양시_Modal_split!I$3 * 0.01</f>
        <v>1.4351625367486057E-3</v>
      </c>
      <c r="BX153" s="207">
        <f>INDEX($A$145:$H$158,MATCH($L153,$B$145:$B$158,0),MATCH($BQ$144,$A$145:$H$145,0))*고양시_Modal_split!J$3 * 0.01</f>
        <v>1.5714513531880418E-2</v>
      </c>
      <c r="BY153" s="207">
        <f>INDEX($A$145:$H$158,MATCH($L153,$B$145:$B$158,0),MATCH($BQ$144,$A$145:$H$145,0))*고양시_Modal_split!K$3 * 0.01</f>
        <v>7.7436827522406782E-5</v>
      </c>
      <c r="BZ153" s="207">
        <f>INDEX($A$145:$H$158,MATCH($L153,$B$145:$B$158,0),MATCH($BQ$144,$A$145:$H$145,0))*고양시_Modal_split!L$3 * 0.01</f>
        <v>1.5590614607844566E-3</v>
      </c>
      <c r="CA153" s="207">
        <f>INDEX($A$145:$H$158,MATCH($L153,$B$145:$B$158,0),MATCH($BQ$144,$A$145:$H$145,0))*고양시_Modal_split!M$3 * 0.01</f>
        <v>1.187364688676904E-4</v>
      </c>
      <c r="CB153" s="207">
        <f>INDEX($A$145:$H$158,MATCH($L153,$B$145:$B$158,0),MATCH($BQ$144,$A$145:$H$145,0))*고양시_Modal_split!N$3 * 0.01</f>
        <v>5.1624551681604532E-5</v>
      </c>
      <c r="CC153" s="207">
        <f>INDEX($A$145:$H$158,MATCH($L153,$B$145:$B$158,0),MATCH($BQ$144,$A$145:$H$145,0))*고양시_Modal_split!O$3 * 0.01</f>
        <v>9.2924193026888154E-5</v>
      </c>
      <c r="CD153" s="207">
        <f>INDEX($A$145:$H$158,MATCH($L153,$B$145:$B$158,0),MATCH($BQ$144,$A$145:$H$145,0))*고양시_Modal_split!P$3 * 0.01</f>
        <v>5.1624551681604534E-2</v>
      </c>
      <c r="CE153" s="304">
        <f t="shared" si="84"/>
        <v>0.50759567134487615</v>
      </c>
      <c r="CF153" s="304">
        <f t="shared" si="64"/>
        <v>85.257944369105445</v>
      </c>
      <c r="CG153" s="304">
        <f t="shared" si="65"/>
        <v>10.315069178401233</v>
      </c>
      <c r="CH153" s="304">
        <f t="shared" si="66"/>
        <v>16.623758236544695</v>
      </c>
      <c r="CI153" s="304">
        <f t="shared" si="67"/>
        <v>1.6678143487045931</v>
      </c>
      <c r="CJ153" s="304">
        <f t="shared" si="68"/>
        <v>1.8128416833745577E-2</v>
      </c>
      <c r="CK153" s="304">
        <f t="shared" si="69"/>
        <v>5.0396998797812707</v>
      </c>
      <c r="CL153" s="304">
        <f t="shared" si="70"/>
        <v>55.182900841921537</v>
      </c>
      <c r="CM153" s="304">
        <f t="shared" si="71"/>
        <v>0.27192625250618369</v>
      </c>
      <c r="CN153" s="304">
        <f t="shared" si="72"/>
        <v>5.4747818837911639</v>
      </c>
      <c r="CO153" s="304">
        <f t="shared" si="73"/>
        <v>0.41695358717614828</v>
      </c>
      <c r="CP153" s="304">
        <f t="shared" si="74"/>
        <v>0.18128416833745581</v>
      </c>
      <c r="CQ153" s="304">
        <f t="shared" si="75"/>
        <v>0.32631150300742034</v>
      </c>
      <c r="CR153" s="304">
        <f t="shared" si="76"/>
        <v>181.28416833745578</v>
      </c>
      <c r="CS153" s="305">
        <f t="shared" si="85"/>
        <v>0</v>
      </c>
      <c r="CV153" s="267"/>
      <c r="CW153" s="267" t="s">
        <v>302</v>
      </c>
      <c r="CX153" s="267">
        <f>INDEX($M$144:$Z$158,MATCH($CW153,$L$144:$L$158,0),MATCH(CX$145,$M$145:$Z$145,0))/INDEX(고양시_재차인원!$D$4:$H$35,MATCH("고양시",고양시_재차인원!$B$4:$B$35,0),MATCH($CX$144,고양시_재차인원!$D$4:$H$4,0))</f>
        <v>8.794771367933647</v>
      </c>
      <c r="CY153" s="267">
        <f>INDEX($M$144:$Z$158,MATCH($CW153,$L$144:$L$158,0),MATCH(CY$145,$M$145:$Z$145,0))/INDEX(고양시_재차인원!$K$4:$O$20,MATCH("경기도",고양시_재차인원!$K$4:$K$20,0),MATCH(CY$145,고양시_재차인원!$K$4:$O$4,0))</f>
        <v>7.2748816571935939E-5</v>
      </c>
      <c r="CZ153" s="267">
        <f>INDEX($M$144:$Z$158,MATCH($CW153,$L$144:$L$158,0),MATCH(CZ$145,$M$145:$Z$145,0))/INDEX(고양시_재차인원!$K$4:$O$20,MATCH("경기도",고양시_재차인원!$K$4:$K$20,0),MATCH(CZ$145,고양시_재차인원!$K$4:$O$4,0))</f>
        <v>2.0224171006998189E-2</v>
      </c>
      <c r="DA153" s="267">
        <f>INDEX($M$144:$Z$158,MATCH($CW153,$L$144:$L$158,0),MATCH(DA$145,$M$145:$Z$145,0))/INDEX(고양시_재차인원!$D$4:$H$35,MATCH("고양시",고양시_재차인원!$B$4:$B$35,0),MATCH($CX$144,고양시_재차인원!$D$4:$H$4,0))</f>
        <v>0.5647503621339488</v>
      </c>
      <c r="DB153" s="267">
        <f>INDEX($AA$144:$AN$158,MATCH($CW153,$L$144:$L$158,0),MATCH(DB$145,$AA$145:$AN$145,0))/INDEX(고양시_재차인원!$D$4:$H$35,MATCH("고양시",고양시_재차인원!$B$4:$B$35,0),MATCH($DB$144,고양시_재차인원!$D$4:$H$4,0))</f>
        <v>50.558515457955103</v>
      </c>
      <c r="DC153" s="267">
        <f>INDEX($AA$144:$AN$158,MATCH($CW153,$L$144:$L$158,0),MATCH(DC$145,$AA$145:$AN$145,0))/INDEX(고양시_재차인원!$K$4:$O$20,MATCH("경기도",고양시_재차인원!$K$4:$K$20,0),MATCH(DC$145,고양시_재차인원!$K$4:$O$4,0))</f>
        <v>5.264980686078281E-4</v>
      </c>
      <c r="DD153" s="267">
        <f>INDEX($AA$144:$AN$158,MATCH($CW153,$L$144:$L$158,0),MATCH(DD$145,$AA$145:$AN$145,0))/INDEX(고양시_재차인원!$K$4:$O$20,MATCH("경기도",고양시_재차인원!$K$4:$K$20,0),MATCH(DD$145,고양시_재차인원!$K$4:$O$4,0))</f>
        <v>0.14636646307297621</v>
      </c>
      <c r="DE153" s="267">
        <f>INDEX($AA$144:$AN$158,MATCH($CW153,$L$144:$L$158,0),MATCH(DE$145,$AA$145:$AN$145,0))/INDEX(고양시_재차인원!$D$4:$H$35,MATCH("고양시",고양시_재차인원!$B$4:$B$35,0),MATCH($DB$144,고양시_재차인원!$D$4:$H$4,0))</f>
        <v>3.2465812605363475</v>
      </c>
      <c r="DF153" s="267">
        <f>INDEX($AO$144:$BB$158,MATCH($CW153,$L$144:$L$158,0),MATCH(DF$145,$AO$145:$BB$145,0))/INDEX(고양시_재차인원!$D$4:$H$35,MATCH("고양시",고양시_재차인원!$B$4:$B$35,0),MATCH($DF$144,고양시_재차인원!$D$4:$H$4,0))</f>
        <v>3.1458367795950766</v>
      </c>
      <c r="DG153" s="267">
        <f>INDEX($AO$144:$BB$158,MATCH($CW153,$L$144:$L$158,0),MATCH(DG$145,$AO$145:$BB$145,0))/INDEX(고양시_재차인원!$K$4:$O$20,MATCH("경기도",고양시_재차인원!$K$4:$K$20,0),MATCH(DG$145,고양시_재차인원!$K$4:$O$4,0))</f>
        <v>3.02038910038769E-5</v>
      </c>
      <c r="DH153" s="267">
        <f>INDEX($AO$144:$BB$158,MATCH($CW153,$L$144:$L$158,0),MATCH(DH$145,$AO$145:$BB$145,0))/INDEX(고양시_재차인원!$K$4:$O$20,MATCH("경기도",고양시_재차인원!$K$4:$K$20,0),MATCH(DH$145,고양시_재차인원!$K$4:$O$4,0))</f>
        <v>8.3966816990777779E-3</v>
      </c>
      <c r="DI153" s="267">
        <f>INDEX($AO$144:$BB$158,MATCH($CW153,$L$144:$L$158,0),MATCH(DI$145,$AO$145:$BB$145,0))/INDEX(고양시_재차인원!$D$4:$H$35,MATCH("고양시",고양시_재차인원!$B$4:$B$35,0),MATCH($DF$144,고양시_재차인원!$D$4:$H$4,0))</f>
        <v>0.20200780511114461</v>
      </c>
      <c r="DJ153" s="267">
        <f>INDEX($BC$144:$BP$158,MATCH($CW153,$L$144:$L$158,0),MATCH(DJ$145,$BC$145:$BP$145,0))/INDEX(고양시_재차인원!$D$4:$H$35,MATCH("고양시",고양시_재차인원!$B$4:$B$35,0),MATCH($DJ$144,고양시_재차인원!$D$4:$H$4,0))</f>
        <v>4.7255890982423618E-3</v>
      </c>
      <c r="DK153" s="267">
        <f>INDEX($BC$144:$BP$158,MATCH($CW153,$L$144:$L$158,0),MATCH(DK$145,$BC$145:$BP$145,0))/INDEX(고양시_재차인원!$K$4:$O$20,MATCH("경기도",고양시_재차인원!$K$4:$K$20,0),MATCH(DK$145,고양시_재차인원!$K$4:$O$4,0))</f>
        <v>4.7465517554547055E-8</v>
      </c>
      <c r="DL153" s="267">
        <f>INDEX($BC$144:$BP$158,MATCH($CW153,$L$144:$L$158,0),MATCH(DL$145,$BC$145:$BP$145,0))/INDEX(고양시_재차인원!$K$4:$O$20,MATCH("경기도",고양시_재차인원!$K$4:$K$20,0),MATCH(DL$145,고양시_재차인원!$K$4:$O$4,0))</f>
        <v>1.3195413880164082E-5</v>
      </c>
      <c r="DM153" s="267">
        <f>INDEX($BC$144:$BP$158,MATCH($CW153,$L$144:$L$158,0),MATCH(DM$145,$BC$145:$BP$145,0))/INDEX(고양시_재차인원!$D$4:$H$35,MATCH("고양시",고양시_재차인원!$B$4:$B$35,0),MATCH($DJ$144,고양시_재차인원!$D$4:$H$4,0))</f>
        <v>3.0345054383780419E-4</v>
      </c>
      <c r="DN153" s="267">
        <f>INDEX($BQ$144:$CD$158,MATCH($CW153,$L$144:$L$158,0),MATCH(DN$145,$BQ$145:$CD$145,0))/INDEX(고양시_재차인원!$D$4:$H$35,MATCH("고양시",고양시_재차인원!$B$4:$B$35,0),MATCH($DN$144,고양시_재차인원!$D$4:$H$4,0))</f>
        <v>1.9269068774490961E-2</v>
      </c>
      <c r="DO153" s="267">
        <f>INDEX($BQ$144:$CD$158,MATCH($CW153,$L$144:$L$158,0),MATCH(DO$145,$BQ$145:$CD$145,0))/INDEX(고양시_재차인원!$K$4:$O$20,MATCH("경기도",고양시_재차인원!$K$4:$K$20,0),MATCH(DO$145,고양시_재차인원!$K$4:$O$4,0))</f>
        <v>1.7931417742828945E-7</v>
      </c>
      <c r="DP153" s="267">
        <f>INDEX($BQ$144:$CD$158,MATCH($CW153,$L$144:$L$158,0),MATCH(DP$145,$BQ$145:$CD$145,0))/INDEX(고양시_재차인원!$K$4:$O$20,MATCH("경기도",고양시_재차인원!$K$4:$K$20,0),MATCH(DP$145,고양시_재차인원!$K$4:$O$4,0))</f>
        <v>4.9849341325064455E-5</v>
      </c>
      <c r="DQ153" s="267">
        <f>INDEX($BQ$144:$CD$158,MATCH($CW153,$L$144:$L$158,0),MATCH(DQ$145,$BQ$145:$CD$145,0))/INDEX(고양시_재차인원!$D$4:$H$35,MATCH("고양시",고양시_재차인원!$B$4:$B$35,0),MATCH($DN$144,고양시_재차인원!$D$4:$H$4,0))</f>
        <v>1.2373503657019498E-3</v>
      </c>
      <c r="DR153" s="270">
        <f t="shared" si="86"/>
        <v>62.523118263356565</v>
      </c>
      <c r="DS153" s="270">
        <f t="shared" si="77"/>
        <v>6.2967755587862377E-4</v>
      </c>
      <c r="DT153" s="270">
        <f t="shared" si="78"/>
        <v>0.17505036053425743</v>
      </c>
      <c r="DU153" s="270">
        <f t="shared" si="79"/>
        <v>4.0148802286909806</v>
      </c>
      <c r="DW153" s="278"/>
      <c r="DX153" s="278" t="s">
        <v>302</v>
      </c>
      <c r="DY153" s="281">
        <f t="shared" si="87"/>
        <v>66.537998492047549</v>
      </c>
      <c r="DZ153" s="281">
        <f t="shared" si="88"/>
        <v>0.17568003809013605</v>
      </c>
      <c r="EB153" s="278"/>
      <c r="EC153" s="278" t="s">
        <v>302</v>
      </c>
      <c r="ED153" s="281">
        <f t="shared" si="89"/>
        <v>66.537998492047549</v>
      </c>
      <c r="EE153" s="281">
        <f t="shared" si="80"/>
        <v>0.17568003809013605</v>
      </c>
      <c r="EL153" s="306" t="s">
        <v>667</v>
      </c>
      <c r="EM153" s="306" t="s">
        <v>568</v>
      </c>
      <c r="EN153" s="306">
        <v>26312.316800000001</v>
      </c>
      <c r="EO153" s="306">
        <v>0.1416840985854132</v>
      </c>
      <c r="EP153" s="307">
        <v>849108</v>
      </c>
      <c r="EQ153" s="308">
        <f t="shared" si="90"/>
        <v>638.06571920469912</v>
      </c>
      <c r="ER153" s="308">
        <f t="shared" si="91"/>
        <v>1.6846826233778125</v>
      </c>
      <c r="ET153" s="420" t="s">
        <v>667</v>
      </c>
      <c r="EU153" s="420" t="s">
        <v>568</v>
      </c>
      <c r="EV153" s="420">
        <v>26312.316800000001</v>
      </c>
      <c r="EW153" s="420">
        <v>0.1416840985854132</v>
      </c>
      <c r="EX153" s="421">
        <v>849108</v>
      </c>
      <c r="EY153" s="422">
        <f t="shared" si="92"/>
        <v>619.88084620736527</v>
      </c>
      <c r="EZ153" s="422">
        <f t="shared" si="81"/>
        <v>1.6366691686115449</v>
      </c>
      <c r="FA153">
        <v>0</v>
      </c>
      <c r="FD153" s="306" t="s">
        <v>667</v>
      </c>
      <c r="FE153" s="306" t="s">
        <v>568</v>
      </c>
      <c r="FF153" s="306">
        <v>26312.316800000001</v>
      </c>
      <c r="FG153" s="306">
        <v>0.1416840985854132</v>
      </c>
      <c r="FH153" s="307">
        <v>849108</v>
      </c>
      <c r="FI153" s="308">
        <f t="shared" si="82"/>
        <v>619.88084620736527</v>
      </c>
      <c r="FJ153" s="308">
        <f t="shared" si="83"/>
        <v>1.6366691686115449</v>
      </c>
      <c r="FL153" s="101"/>
      <c r="FM153" s="101"/>
      <c r="FN153" s="101"/>
      <c r="FO153" s="101"/>
      <c r="FP153" s="374"/>
      <c r="FQ153" s="404"/>
      <c r="FR153" s="404"/>
    </row>
    <row r="154" spans="1:174">
      <c r="A154" s="205"/>
      <c r="B154" s="205" t="s">
        <v>303</v>
      </c>
      <c r="C154" s="400">
        <f>$AB69*KTDB_TripDistribution_2035!T$12 * (1+KTDB_발생량도착량_증가율!$C$7*2) * (1+KTDB_발생량도착량_증가율!$D$8*5)* (1+KTDB_발생량도착량_증가율!$E$8*5)</f>
        <v>37.064843337240923</v>
      </c>
      <c r="D154" s="400">
        <f>$AB69*KTDB_TripDistribution_2035!U$12 * (1+KTDB_발생량도착량_증가율!$C$7*2) * (1+KTDB_발생량도착량_증가율!$D$8*5)* (1+KTDB_발생량도착량_증가율!$E$8*5)</f>
        <v>268.24585402035439</v>
      </c>
      <c r="E154" s="400">
        <f>$AB69*KTDB_TripDistribution_2035!V$12 * (1+KTDB_발생량도착량_증가율!$C$7*2) * (1+KTDB_발생량도착량_증가율!$D$8*5)* (1+KTDB_발생량도착량_증가율!$E$8*5)</f>
        <v>15.388600680903231</v>
      </c>
      <c r="F154" s="400">
        <f>$AB69*KTDB_TripDistribution_2035!W$12 * (1+KTDB_발생량도착량_증가율!$C$7*2) * (1+KTDB_발생량도착량_증가율!$D$8*5)* (1+KTDB_발생량도착량_증가율!$E$8*5)</f>
        <v>2.4183238367055791E-2</v>
      </c>
      <c r="G154" s="400">
        <f>$AB69*KTDB_TripDistribution_2035!X$12 * (1+KTDB_발생량도착량_증가율!$C$7*2) * (1+KTDB_발생량도착량_증가율!$D$8*5)* (1+KTDB_발생량도착량_증가율!$E$8*5)</f>
        <v>9.1358900497766612E-2</v>
      </c>
      <c r="H154" s="400">
        <f>$AB69*KTDB_TripDistribution_2035!Y$12 * (1+KTDB_발생량도착량_증가율!$C$7*2) * (1+KTDB_발생량도착량_증가율!$D$8*5)* (1+KTDB_발생량도착량_증가율!$E$8*5)</f>
        <v>320.81484017736346</v>
      </c>
      <c r="I154" s="56"/>
      <c r="J154" s="56"/>
      <c r="K154" s="206"/>
      <c r="L154" s="206" t="s">
        <v>303</v>
      </c>
      <c r="M154" s="206">
        <f>INDEX($A$145:$H$158,MATCH($L154,$B$145:$B$158,0),MATCH($M$144,$A$145:$H$145,0))*고양시_Modal_split!C$3 * 0.01</f>
        <v>0.10378156134427459</v>
      </c>
      <c r="N154" s="206">
        <f>INDEX($A$145:$H$158,MATCH($L154,$B$145:$B$158,0),MATCH($M$144,$A$145:$H$145,0))*고양시_Modal_split!D$3 * 0.01</f>
        <v>17.431595821504406</v>
      </c>
      <c r="O154" s="206">
        <f>INDEX($A$145:$H$158,MATCH($L154,$B$145:$B$158,0),MATCH($M$144,$A$145:$H$145,0))*고양시_Modal_split!E$3 * 0.01</f>
        <v>2.1089895858890082</v>
      </c>
      <c r="P154" s="206">
        <f>INDEX($A$145:$H$158,MATCH($L154,$B$145:$B$158,0),MATCH($M$144,$A$145:$H$145,0))*고양시_Modal_split!F$3 * 0.01</f>
        <v>3.3988461340249927</v>
      </c>
      <c r="Q154" s="206">
        <f>INDEX($A$145:$H$158,MATCH($L154,$B$145:$B$158,0),MATCH($M$144,$A$145:$H$145,0))*고양시_Modal_split!G$3 * 0.01</f>
        <v>0.34099655870261653</v>
      </c>
      <c r="R154" s="206">
        <f>INDEX($A$145:$H$158,MATCH($L154,$B$145:$B$158,0),MATCH($M$144,$A$145:$H$145,0))*고양시_Modal_split!H$3 * 0.01</f>
        <v>3.7064843337240921E-3</v>
      </c>
      <c r="S154" s="206">
        <f>INDEX($A$145:$H$158,MATCH($L154,$B$145:$B$158,0),MATCH($M$144,$A$145:$H$145,0))*고양시_Modal_split!I$3 * 0.01</f>
        <v>1.0304026447752976</v>
      </c>
      <c r="T154" s="206">
        <f>INDEX($A$145:$H$158,MATCH($L154,$B$145:$B$158,0),MATCH($M$144,$A$145:$H$145,0))*고양시_Modal_split!J$3 * 0.01</f>
        <v>11.282538311856138</v>
      </c>
      <c r="U154" s="206">
        <f>INDEX($A$145:$H$158,MATCH($L154,$B$145:$B$158,0),MATCH($M$144,$A$145:$H$145,0))*고양시_Modal_split!K$3 * 0.01</f>
        <v>5.5597265005861381E-2</v>
      </c>
      <c r="V154" s="206">
        <f>INDEX($A$145:$H$158,MATCH($L154,$B$145:$B$158,0),MATCH($M$144,$A$145:$H$145,0))*고양시_Modal_split!L$3 * 0.01</f>
        <v>1.1193582687846759</v>
      </c>
      <c r="W154" s="206">
        <f>INDEX($A$145:$H$158,MATCH($L154,$B$145:$B$158,0),MATCH($M$144,$A$145:$H$145,0))*고양시_Modal_split!M$3 * 0.01</f>
        <v>8.5249139675654131E-2</v>
      </c>
      <c r="X154" s="206">
        <f>INDEX($A$145:$H$158,MATCH($L154,$B$145:$B$158,0),MATCH($M$144,$A$145:$H$145,0))*고양시_Modal_split!N$3 * 0.01</f>
        <v>3.7064843337240923E-2</v>
      </c>
      <c r="Y154" s="206">
        <f>INDEX($A$145:$H$158,MATCH($L154,$B$145:$B$158,0),MATCH($M$144,$A$145:$H$145,0))*고양시_Modal_split!O$3 * 0.01</f>
        <v>6.671671800703366E-2</v>
      </c>
      <c r="Z154" s="209">
        <f>INDEX($A$145:$H$158,MATCH($L154,$B$145:$B$158,0),MATCH($M$144,$A$145:$H$145,0))*고양시_Modal_split!P$3 * 0.01</f>
        <v>37.064843337240923</v>
      </c>
      <c r="AA154" s="207">
        <f>INDEX($A$145:$H$158,MATCH($L154,$B$145:$B$158,0),MATCH($AA$144,$A$145:$H$145,0))*고양시_Modal_split!C$3 * 0.01</f>
        <v>0.75108839125699223</v>
      </c>
      <c r="AB154" s="207">
        <f>INDEX($A$145:$H$158,MATCH($L154,$B$145:$B$158,0),MATCH($AA$144,$A$145:$H$145,0))*고양시_Modal_split!D$3 * 0.01</f>
        <v>126.15602514577267</v>
      </c>
      <c r="AC154" s="207">
        <f>INDEX($A$145:$H$158,MATCH($L154,$B$145:$B$158,0),MATCH($AA$144,$A$145:$H$145,0))*고양시_Modal_split!E$3 * 0.01</f>
        <v>15.263189093758163</v>
      </c>
      <c r="AD154" s="207">
        <f>INDEX($A$145:$H$158,MATCH($L154,$B$145:$B$158,0),MATCH($AA$144,$A$145:$H$145,0))*고양시_Modal_split!F$3 * 0.01</f>
        <v>24.598144813666494</v>
      </c>
      <c r="AE154" s="207">
        <f>INDEX($A$145:$H$158,MATCH($L154,$B$145:$B$158,0),MATCH($AA$144,$A$145:$H$145,0))*고양시_Modal_split!G$3 * 0.01</f>
        <v>2.4678618569872603</v>
      </c>
      <c r="AF154" s="207">
        <f>INDEX($A$145:$H$158,MATCH($L154,$B$145:$B$158,0),MATCH($AA$144,$A$145:$H$145,0))*고양시_Modal_split!H$3 * 0.01</f>
        <v>2.6824585402035441E-2</v>
      </c>
      <c r="AG154" s="207">
        <f>INDEX($A$145:$H$158,MATCH($L154,$B$145:$B$158,0),MATCH($AA$144,$A$145:$H$145,0))*고양시_Modal_split!I$3 * 0.01</f>
        <v>7.4572347417658511</v>
      </c>
      <c r="AH154" s="207">
        <f>INDEX($A$145:$H$158,MATCH($L154,$B$145:$B$158,0),MATCH($AA$144,$A$145:$H$145,0))*고양시_Modal_split!J$3 * 0.01</f>
        <v>81.654037963795886</v>
      </c>
      <c r="AI154" s="207">
        <f>INDEX($A$145:$H$158,MATCH($L154,$B$145:$B$158,0),MATCH($AA$144,$A$145:$H$145,0))*고양시_Modal_split!K$3 * 0.01</f>
        <v>0.40236878103053159</v>
      </c>
      <c r="AJ154" s="207">
        <f>INDEX($A$145:$H$158,MATCH($L154,$B$145:$B$158,0),MATCH($AA$144,$A$145:$H$145,0))*고양시_Modal_split!L$3 * 0.01</f>
        <v>8.1010247914147016</v>
      </c>
      <c r="AK154" s="207">
        <f>INDEX($A$145:$H$158,MATCH($L154,$B$145:$B$158,0),MATCH($AA$144,$A$145:$H$145,0))*고양시_Modal_split!M$3 * 0.01</f>
        <v>0.61696546424681509</v>
      </c>
      <c r="AL154" s="207">
        <f>INDEX($A$145:$H$158,MATCH($L154,$B$145:$B$158,0),MATCH($AA$144,$A$145:$H$145,0))*고양시_Modal_split!N$3 * 0.01</f>
        <v>0.26824585402035439</v>
      </c>
      <c r="AM154" s="207">
        <f>INDEX($A$145:$H$158,MATCH($L154,$B$145:$B$158,0),MATCH($AA$144,$A$145:$H$145,0))*고양시_Modal_split!O$3 * 0.01</f>
        <v>0.48284253723663789</v>
      </c>
      <c r="AN154" s="207">
        <f>INDEX($A$145:$H$158,MATCH($L154,$B$145:$B$158,0),MATCH($AA$144,$A$145:$H$145,0))*고양시_Modal_split!P$3 * 0.01</f>
        <v>268.24585402035439</v>
      </c>
      <c r="AO154" s="303">
        <f>INDEX($A$145:$H$158,MATCH($L154,$B$145:$B$158,0),MATCH($AO$144,$A$145:$H$145,0))*고양시_Modal_split!C$3 * 0.01</f>
        <v>4.308808190652904E-2</v>
      </c>
      <c r="AP154" s="303">
        <f>INDEX($A$145:$H$158,MATCH($L154,$B$145:$B$158,0),MATCH($AO$144,$A$145:$H$145,0))*고양시_Modal_split!D$3 * 0.01</f>
        <v>7.2372589002287899</v>
      </c>
      <c r="AQ154" s="303">
        <f>INDEX($A$145:$H$158,MATCH($L154,$B$145:$B$158,0),MATCH($AO$144,$A$145:$H$145,0))*고양시_Modal_split!E$3 * 0.01</f>
        <v>0.87561137874339379</v>
      </c>
      <c r="AR154" s="303">
        <f>INDEX($A$145:$H$158,MATCH($L154,$B$145:$B$158,0),MATCH($AO$144,$A$145:$H$145,0))*고양시_Modal_split!F$3 * 0.01</f>
        <v>1.4111346824388264</v>
      </c>
      <c r="AS154" s="303">
        <f>INDEX($A$145:$H$158,MATCH($L154,$B$145:$B$158,0),MATCH($AO$144,$A$145:$H$145,0))*고양시_Modal_split!G$3 * 0.01</f>
        <v>0.14157512626430971</v>
      </c>
      <c r="AT154" s="303">
        <f>INDEX($A$145:$H$158,MATCH($L154,$B$145:$B$158,0),MATCH($AO$144,$A$145:$H$145,0))*고양시_Modal_split!H$3 * 0.01</f>
        <v>1.5388600680903231E-3</v>
      </c>
      <c r="AU154" s="303">
        <f>INDEX($A$145:$H$158,MATCH($L154,$B$145:$B$158,0),MATCH($AO$144,$A$145:$H$145,0))*고양시_Modal_split!I$3 * 0.01</f>
        <v>0.42780309892910978</v>
      </c>
      <c r="AV154" s="303">
        <f>INDEX($A$145:$H$158,MATCH($L154,$B$145:$B$158,0),MATCH($AO$144,$A$145:$H$145,0))*고양시_Modal_split!J$3 * 0.01</f>
        <v>4.684290047266944</v>
      </c>
      <c r="AW154" s="303">
        <f>INDEX($A$145:$H$158,MATCH($L154,$B$145:$B$158,0),MATCH($AO$144,$A$145:$H$145,0))*고양시_Modal_split!K$3 * 0.01</f>
        <v>2.3082901021354844E-2</v>
      </c>
      <c r="AX154" s="303">
        <f>INDEX($A$145:$H$158,MATCH($L154,$B$145:$B$158,0),MATCH($AO$144,$A$145:$H$145,0))*고양시_Modal_split!L$3 * 0.01</f>
        <v>0.46473574056327754</v>
      </c>
      <c r="AY154" s="303">
        <f>INDEX($A$145:$H$158,MATCH($L154,$B$145:$B$158,0),MATCH($AO$144,$A$145:$H$145,0))*고양시_Modal_split!M$3 * 0.01</f>
        <v>3.5393781566077427E-2</v>
      </c>
      <c r="AZ154" s="303">
        <f>INDEX($A$145:$H$158,MATCH($L154,$B$145:$B$158,0),MATCH($AO$144,$A$145:$H$145,0))*고양시_Modal_split!N$3 * 0.01</f>
        <v>1.5388600680903234E-2</v>
      </c>
      <c r="BA154" s="207">
        <f>INDEX($A$145:$H$158,MATCH($L154,$B$145:$B$158,0),MATCH($AO$144,$A$145:$H$145,0))*고양시_Modal_split!O$3 * 0.01</f>
        <v>2.7699481225625815E-2</v>
      </c>
      <c r="BB154" s="207">
        <f>INDEX($A$145:$H$158,MATCH($L154,$B$145:$B$158,0),MATCH($AO$144,$A$145:$H$145,0))*고양시_Modal_split!P$3 * 0.01</f>
        <v>15.388600680903231</v>
      </c>
      <c r="BC154" s="207">
        <f>INDEX($A$145:$H$158,MATCH($L154,$B$145:$B$158,0),MATCH($BC$144,$A$145:$H$145,0))*고양시_Modal_split!C$3 * 0.01</f>
        <v>6.7713067427756216E-5</v>
      </c>
      <c r="BD154" s="207">
        <f>INDEX($A$145:$H$158,MATCH($L154,$B$145:$B$158,0),MATCH($BC$144,$A$145:$H$145,0))*고양시_Modal_split!D$3 * 0.01</f>
        <v>1.1373377004026339E-2</v>
      </c>
      <c r="BE154" s="207">
        <f>INDEX($A$145:$H$158,MATCH($L154,$B$145:$B$158,0),MATCH($BC$144,$A$145:$H$145,0))*고양시_Modal_split!E$3 * 0.01</f>
        <v>1.3760262630854744E-3</v>
      </c>
      <c r="BF154" s="207">
        <f>INDEX($A$145:$H$158,MATCH($L154,$B$145:$B$158,0),MATCH($BC$144,$A$145:$H$145,0))*고양시_Modal_split!F$3 * 0.01</f>
        <v>2.2176029582590159E-3</v>
      </c>
      <c r="BG154" s="207">
        <f>INDEX($A$145:$H$158,MATCH($L154,$B$145:$B$158,0),MATCH($BC$144,$A$145:$H$145,0))*고양시_Modal_split!G$3 * 0.01</f>
        <v>2.2248579297691327E-4</v>
      </c>
      <c r="BH154" s="207">
        <f>INDEX($A$145:$H$158,MATCH($L154,$B$145:$B$158,0),MATCH($BC$144,$A$145:$H$145,0))*고양시_Modal_split!H$3 * 0.01</f>
        <v>2.4183238367055791E-6</v>
      </c>
      <c r="BI154" s="207">
        <f>INDEX($A$145:$H$158,MATCH($L154,$B$145:$B$158,0),MATCH($BC$144,$A$145:$H$145,0))*고양시_Modal_split!I$3 * 0.01</f>
        <v>6.7229402660415089E-4</v>
      </c>
      <c r="BJ154" s="207">
        <f>INDEX($A$145:$H$158,MATCH($L154,$B$145:$B$158,0),MATCH($BC$144,$A$145:$H$145,0))*고양시_Modal_split!J$3 * 0.01</f>
        <v>7.3613777589317834E-3</v>
      </c>
      <c r="BK154" s="207">
        <f>INDEX($A$145:$H$158,MATCH($L154,$B$145:$B$158,0),MATCH($BC$144,$A$145:$H$145,0))*고양시_Modal_split!K$3 * 0.01</f>
        <v>3.6274857550583684E-5</v>
      </c>
      <c r="BL154" s="207">
        <f>INDEX($A$145:$H$158,MATCH($L154,$B$145:$B$158,0),MATCH($BC$144,$A$145:$H$145,0))*고양시_Modal_split!L$3 * 0.01</f>
        <v>7.3033379868508498E-4</v>
      </c>
      <c r="BM154" s="207">
        <f>INDEX($A$145:$H$158,MATCH($L154,$B$145:$B$158,0),MATCH($BC$144,$A$145:$H$145,0))*고양시_Modal_split!M$3 * 0.01</f>
        <v>5.5621448244228317E-5</v>
      </c>
      <c r="BN154" s="207">
        <f>INDEX($A$145:$H$158,MATCH($L154,$B$145:$B$158,0),MATCH($BC$144,$A$145:$H$145,0))*고양시_Modal_split!N$3 * 0.01</f>
        <v>2.4183238367055795E-5</v>
      </c>
      <c r="BO154" s="207">
        <f>INDEX($A$145:$H$158,MATCH($L154,$B$145:$B$158,0),MATCH($BC$144,$A$145:$H$145,0))*고양시_Modal_split!O$3 * 0.01</f>
        <v>4.3529829060700418E-5</v>
      </c>
      <c r="BP154" s="207">
        <f>INDEX($A$145:$H$158,MATCH($L154,$B$145:$B$158,0),MATCH($BC$144,$A$145:$H$145,0))*고양시_Modal_split!P$3 * 0.01</f>
        <v>2.4183238367055791E-2</v>
      </c>
      <c r="BQ154" s="207">
        <f>INDEX($A$145:$H$158,MATCH($L154,$B$145:$B$158,0),MATCH($BQ$144,$A$145:$H$145,0))*고양시_Modal_split!C$3 * 0.01</f>
        <v>2.558049213937465E-4</v>
      </c>
      <c r="BR154" s="207">
        <f>INDEX($A$145:$H$158,MATCH($L154,$B$145:$B$158,0),MATCH($BQ$144,$A$145:$H$145,0))*고양시_Modal_split!D$3 * 0.01</f>
        <v>4.2966090904099641E-2</v>
      </c>
      <c r="BS154" s="207">
        <f>INDEX($A$145:$H$158,MATCH($L154,$B$145:$B$158,0),MATCH($BQ$144,$A$145:$H$145,0))*고양시_Modal_split!E$3 * 0.01</f>
        <v>5.1983214383229193E-3</v>
      </c>
      <c r="BT154" s="207">
        <f>INDEX($A$145:$H$158,MATCH($L154,$B$145:$B$158,0),MATCH($BQ$144,$A$145:$H$145,0))*고양시_Modal_split!F$3 * 0.01</f>
        <v>8.3776111756451981E-3</v>
      </c>
      <c r="BU154" s="207">
        <f>INDEX($A$145:$H$158,MATCH($L154,$B$145:$B$158,0),MATCH($BQ$144,$A$145:$H$145,0))*고양시_Modal_split!G$3 * 0.01</f>
        <v>8.4050188457945277E-4</v>
      </c>
      <c r="BV154" s="207">
        <f>INDEX($A$145:$H$158,MATCH($L154,$B$145:$B$158,0),MATCH($BQ$144,$A$145:$H$145,0))*고양시_Modal_split!H$3 * 0.01</f>
        <v>9.1358900497766613E-6</v>
      </c>
      <c r="BW154" s="207">
        <f>INDEX($A$145:$H$158,MATCH($L154,$B$145:$B$158,0),MATCH($BQ$144,$A$145:$H$145,0))*고양시_Modal_split!I$3 * 0.01</f>
        <v>2.5397774338379113E-3</v>
      </c>
      <c r="BX154" s="207">
        <f>INDEX($A$145:$H$158,MATCH($L154,$B$145:$B$158,0),MATCH($BQ$144,$A$145:$H$145,0))*고양시_Modal_split!J$3 * 0.01</f>
        <v>2.7809649311520159E-2</v>
      </c>
      <c r="BY154" s="207">
        <f>INDEX($A$145:$H$158,MATCH($L154,$B$145:$B$158,0),MATCH($BQ$144,$A$145:$H$145,0))*고양시_Modal_split!K$3 * 0.01</f>
        <v>1.3703835074664993E-4</v>
      </c>
      <c r="BZ154" s="207">
        <f>INDEX($A$145:$H$158,MATCH($L154,$B$145:$B$158,0),MATCH($BQ$144,$A$145:$H$145,0))*고양시_Modal_split!L$3 * 0.01</f>
        <v>2.7590387950325516E-3</v>
      </c>
      <c r="CA154" s="207">
        <f>INDEX($A$145:$H$158,MATCH($L154,$B$145:$B$158,0),MATCH($BQ$144,$A$145:$H$145,0))*고양시_Modal_split!M$3 * 0.01</f>
        <v>2.1012547114486319E-4</v>
      </c>
      <c r="CB154" s="207">
        <f>INDEX($A$145:$H$158,MATCH($L154,$B$145:$B$158,0),MATCH($BQ$144,$A$145:$H$145,0))*고양시_Modal_split!N$3 * 0.01</f>
        <v>9.1358900497766606E-5</v>
      </c>
      <c r="CC154" s="207">
        <f>INDEX($A$145:$H$158,MATCH($L154,$B$145:$B$158,0),MATCH($BQ$144,$A$145:$H$145,0))*고양시_Modal_split!O$3 * 0.01</f>
        <v>1.6444602089597991E-4</v>
      </c>
      <c r="CD154" s="207">
        <f>INDEX($A$145:$H$158,MATCH($L154,$B$145:$B$158,0),MATCH($BQ$144,$A$145:$H$145,0))*고양시_Modal_split!P$3 * 0.01</f>
        <v>9.1358900497766612E-2</v>
      </c>
      <c r="CE154" s="304">
        <f t="shared" si="84"/>
        <v>0.89828155249661745</v>
      </c>
      <c r="CF154" s="304">
        <f t="shared" si="64"/>
        <v>150.87921933541398</v>
      </c>
      <c r="CG154" s="304">
        <f t="shared" si="65"/>
        <v>18.25436440609197</v>
      </c>
      <c r="CH154" s="304">
        <f t="shared" si="66"/>
        <v>29.418720844264218</v>
      </c>
      <c r="CI154" s="304">
        <f t="shared" si="67"/>
        <v>2.951496529631743</v>
      </c>
      <c r="CJ154" s="304">
        <f t="shared" si="68"/>
        <v>3.2081484017736341E-2</v>
      </c>
      <c r="CK154" s="304">
        <f t="shared" si="69"/>
        <v>8.9186525569307005</v>
      </c>
      <c r="CL154" s="304">
        <f t="shared" si="70"/>
        <v>97.656037349989418</v>
      </c>
      <c r="CM154" s="304">
        <f t="shared" si="71"/>
        <v>0.48122226026604503</v>
      </c>
      <c r="CN154" s="304">
        <f t="shared" si="72"/>
        <v>9.6886081733563731</v>
      </c>
      <c r="CO154" s="304">
        <f t="shared" si="73"/>
        <v>0.73787413240793576</v>
      </c>
      <c r="CP154" s="304">
        <f t="shared" si="74"/>
        <v>0.32081484017736339</v>
      </c>
      <c r="CQ154" s="304">
        <f t="shared" si="75"/>
        <v>0.57746671231925406</v>
      </c>
      <c r="CR154" s="304">
        <f t="shared" si="76"/>
        <v>320.81484017736335</v>
      </c>
      <c r="CS154" s="305">
        <f t="shared" si="85"/>
        <v>0</v>
      </c>
      <c r="CV154" s="267"/>
      <c r="CW154" s="267" t="s">
        <v>303</v>
      </c>
      <c r="CX154" s="267">
        <f>INDEX($M$144:$Z$158,MATCH($CW154,$L$144:$L$158,0),MATCH(CX$145,$M$145:$Z$145,0))/INDEX(고양시_재차인원!$D$4:$H$35,MATCH("고양시",고양시_재차인원!$B$4:$B$35,0),MATCH($CX$144,고양시_재차인원!$D$4:$H$4,0))</f>
        <v>15.563924840628932</v>
      </c>
      <c r="CY154" s="267">
        <f>INDEX($M$144:$Z$158,MATCH($CW154,$L$144:$L$158,0),MATCH(CY$145,$M$145:$Z$145,0))/INDEX(고양시_재차인원!$K$4:$O$20,MATCH("경기도",고양시_재차인원!$K$4:$K$20,0),MATCH(CY$145,고양시_재차인원!$K$4:$O$4,0))</f>
        <v>1.2874207480806157E-4</v>
      </c>
      <c r="CZ154" s="267">
        <f>INDEX($M$144:$Z$158,MATCH($CW154,$L$144:$L$158,0),MATCH(CZ$145,$M$145:$Z$145,0))/INDEX(고양시_재차인원!$K$4:$O$20,MATCH("경기도",고양시_재차인원!$K$4:$K$20,0),MATCH(CZ$145,고양시_재차인원!$K$4:$O$4,0))</f>
        <v>3.5790296796641113E-2</v>
      </c>
      <c r="DA154" s="267">
        <f>INDEX($M$144:$Z$158,MATCH($CW154,$L$144:$L$158,0),MATCH(DA$145,$M$145:$Z$145,0))/INDEX(고양시_재차인원!$D$4:$H$35,MATCH("고양시",고양시_재차인원!$B$4:$B$35,0),MATCH($CX$144,고양시_재차인원!$D$4:$H$4,0))</f>
        <v>0.99942702570060338</v>
      </c>
      <c r="DB154" s="267">
        <f>INDEX($AA$144:$AN$158,MATCH($CW154,$L$144:$L$158,0),MATCH(DB$145,$AA$145:$AN$145,0))/INDEX(고양시_재차인원!$D$4:$H$35,MATCH("고양시",고양시_재차인원!$B$4:$B$35,0),MATCH($DB$144,고양시_재차인원!$D$4:$H$4,0))</f>
        <v>89.472358259413255</v>
      </c>
      <c r="DC154" s="267">
        <f>INDEX($AA$144:$AN$158,MATCH($CW154,$L$144:$L$158,0),MATCH(DC$145,$AA$145:$AN$145,0))/INDEX(고양시_재차인원!$K$4:$O$20,MATCH("경기도",고양시_재차인원!$K$4:$K$20,0),MATCH(DC$145,고양시_재차인원!$K$4:$O$4,0))</f>
        <v>9.3173273365875105E-4</v>
      </c>
      <c r="DD154" s="267">
        <f>INDEX($AA$144:$AN$158,MATCH($CW154,$L$144:$L$158,0),MATCH(DD$145,$AA$145:$AN$145,0))/INDEX(고양시_재차인원!$K$4:$O$20,MATCH("경기도",고양시_재차인원!$K$4:$K$20,0),MATCH(DD$145,고양시_재차인원!$K$4:$O$4,0))</f>
        <v>0.25902169995713276</v>
      </c>
      <c r="DE154" s="267">
        <f>INDEX($AA$144:$AN$158,MATCH($CW154,$L$144:$L$158,0),MATCH(DE$145,$AA$145:$AN$145,0))/INDEX(고양시_재차인원!$D$4:$H$35,MATCH("고양시",고양시_재차인원!$B$4:$B$35,0),MATCH($DB$144,고양시_재차인원!$D$4:$H$4,0))</f>
        <v>5.7454076534856044</v>
      </c>
      <c r="DF154" s="267">
        <f>INDEX($AO$144:$BB$158,MATCH($CW154,$L$144:$L$158,0),MATCH(DF$145,$AO$145:$BB$145,0))/INDEX(고양시_재차인원!$D$4:$H$35,MATCH("고양시",고양시_재차인원!$B$4:$B$35,0),MATCH($DF$144,고양시_재차인원!$D$4:$H$4,0))</f>
        <v>5.5671222309452224</v>
      </c>
      <c r="DG154" s="267">
        <f>INDEX($AO$144:$BB$158,MATCH($CW154,$L$144:$L$158,0),MATCH(DG$145,$AO$145:$BB$145,0))/INDEX(고양시_재차인원!$K$4:$O$20,MATCH("경기도",고양시_재차인원!$K$4:$K$20,0),MATCH(DG$145,고양시_재차인원!$K$4:$O$4,0))</f>
        <v>5.3451200697822965E-5</v>
      </c>
      <c r="DH154" s="267">
        <f>INDEX($AO$144:$BB$158,MATCH($CW154,$L$144:$L$158,0),MATCH(DH$145,$AO$145:$BB$145,0))/INDEX(고양시_재차인원!$K$4:$O$20,MATCH("경기도",고양시_재차인원!$K$4:$K$20,0),MATCH(DH$145,고양시_재차인원!$K$4:$O$4,0))</f>
        <v>1.4859433793994783E-2</v>
      </c>
      <c r="DI154" s="267">
        <f>INDEX($AO$144:$BB$158,MATCH($CW154,$L$144:$L$158,0),MATCH(DI$145,$AO$145:$BB$145,0))/INDEX(고양시_재차인원!$D$4:$H$35,MATCH("고양시",고양시_재차인원!$B$4:$B$35,0),MATCH($DF$144,고양시_재차인원!$D$4:$H$4,0))</f>
        <v>0.35748903120252118</v>
      </c>
      <c r="DJ154" s="267">
        <f>INDEX($BC$144:$BP$158,MATCH($CW154,$L$144:$L$158,0),MATCH(DJ$145,$BC$145:$BP$145,0))/INDEX(고양시_재차인원!$D$4:$H$35,MATCH("고양시",고양시_재차인원!$B$4:$B$35,0),MATCH($DJ$144,고양시_재차인원!$D$4:$H$4,0))</f>
        <v>8.3627772088428962E-3</v>
      </c>
      <c r="DK154" s="267">
        <f>INDEX($BC$144:$BP$158,MATCH($CW154,$L$144:$L$158,0),MATCH(DK$145,$BC$145:$BP$145,0))/INDEX(고양시_재차인원!$K$4:$O$20,MATCH("경기도",고양시_재차인원!$K$4:$K$20,0),MATCH(DK$145,고양시_재차인원!$K$4:$O$4,0))</f>
        <v>8.3998743893906881E-8</v>
      </c>
      <c r="DL154" s="267">
        <f>INDEX($BC$144:$BP$158,MATCH($CW154,$L$144:$L$158,0),MATCH(DL$145,$BC$145:$BP$145,0))/INDEX(고양시_재차인원!$K$4:$O$20,MATCH("경기도",고양시_재차인원!$K$4:$K$20,0),MATCH(DL$145,고양시_재차인원!$K$4:$O$4,0))</f>
        <v>2.3351650802506111E-5</v>
      </c>
      <c r="DM154" s="267">
        <f>INDEX($BC$144:$BP$158,MATCH($CW154,$L$144:$L$158,0),MATCH(DM$145,$BC$145:$BP$145,0))/INDEX(고양시_재차인원!$D$4:$H$35,MATCH("고양시",고양시_재차인원!$B$4:$B$35,0),MATCH($DJ$144,고양시_재차인원!$D$4:$H$4,0))</f>
        <v>5.3701014609197422E-4</v>
      </c>
      <c r="DN154" s="267">
        <f>INDEX($BQ$144:$CD$158,MATCH($CW154,$L$144:$L$158,0),MATCH(DN$145,$BQ$145:$CD$145,0))/INDEX(고양시_재차인원!$D$4:$H$35,MATCH("고양시",고양시_재차인원!$B$4:$B$35,0),MATCH($DN$144,고양시_재차인원!$D$4:$H$4,0))</f>
        <v>3.4100072146110827E-2</v>
      </c>
      <c r="DO154" s="267">
        <f>INDEX($BQ$144:$CD$158,MATCH($CW154,$L$144:$L$158,0),MATCH(DO$145,$BQ$145:$CD$145,0))/INDEX(고양시_재차인원!$K$4:$O$20,MATCH("경기도",고양시_재차인원!$K$4:$K$20,0),MATCH(DO$145,고양시_재차인원!$K$4:$O$4,0))</f>
        <v>3.1732858804364926E-7</v>
      </c>
      <c r="DP154" s="267">
        <f>INDEX($BQ$144:$CD$158,MATCH($CW154,$L$144:$L$158,0),MATCH(DP$145,$BQ$145:$CD$145,0))/INDEX(고양시_재차인원!$K$4:$O$20,MATCH("경기도",고양시_재차인원!$K$4:$K$20,0),MATCH(DP$145,고양시_재차인원!$K$4:$O$4,0))</f>
        <v>8.8217347476134467E-5</v>
      </c>
      <c r="DQ154" s="267">
        <f>INDEX($BQ$144:$CD$158,MATCH($CW154,$L$144:$L$158,0),MATCH(DQ$145,$BQ$145:$CD$145,0))/INDEX(고양시_재차인원!$D$4:$H$35,MATCH("고양시",고양시_재차인원!$B$4:$B$35,0),MATCH($DN$144,고양시_재차인원!$D$4:$H$4,0))</f>
        <v>2.1897133293909141E-3</v>
      </c>
      <c r="DR154" s="270">
        <f t="shared" si="86"/>
        <v>110.64586818034236</v>
      </c>
      <c r="DS154" s="270">
        <f t="shared" si="77"/>
        <v>1.114327336496573E-3</v>
      </c>
      <c r="DT154" s="270">
        <f t="shared" si="78"/>
        <v>0.30978299954604738</v>
      </c>
      <c r="DU154" s="270">
        <f t="shared" si="79"/>
        <v>7.1050504338642115</v>
      </c>
      <c r="DW154" s="278"/>
      <c r="DX154" s="278" t="s">
        <v>303</v>
      </c>
      <c r="DY154" s="281">
        <f t="shared" si="87"/>
        <v>117.75091861420657</v>
      </c>
      <c r="DZ154" s="281">
        <f t="shared" si="88"/>
        <v>0.31089732688254396</v>
      </c>
      <c r="EB154" s="278"/>
      <c r="EC154" s="278" t="s">
        <v>303</v>
      </c>
      <c r="ED154" s="281">
        <f t="shared" si="89"/>
        <v>117.75091861420657</v>
      </c>
      <c r="EE154" s="281">
        <f t="shared" si="80"/>
        <v>0.31089732688254396</v>
      </c>
      <c r="EL154" s="306" t="s">
        <v>667</v>
      </c>
      <c r="EM154" s="306" t="s">
        <v>76</v>
      </c>
      <c r="EN154" s="306">
        <v>25868.347099999999</v>
      </c>
      <c r="EO154" s="306">
        <v>0.13929345213562067</v>
      </c>
      <c r="EP154" s="307">
        <v>849109</v>
      </c>
      <c r="EQ154" s="308">
        <f t="shared" si="90"/>
        <v>627.29958834329227</v>
      </c>
      <c r="ER154" s="308">
        <f t="shared" si="91"/>
        <v>1.6562568467887946</v>
      </c>
      <c r="ET154" s="420" t="s">
        <v>667</v>
      </c>
      <c r="EU154" s="420" t="s">
        <v>76</v>
      </c>
      <c r="EV154" s="420">
        <v>25868.347099999999</v>
      </c>
      <c r="EW154" s="420">
        <v>0.13929345213562067</v>
      </c>
      <c r="EX154" s="421">
        <v>849109</v>
      </c>
      <c r="EY154" s="422">
        <f t="shared" si="92"/>
        <v>609.42155007550843</v>
      </c>
      <c r="EZ154" s="422">
        <f t="shared" si="81"/>
        <v>1.6090535266553141</v>
      </c>
      <c r="FA154">
        <v>0</v>
      </c>
      <c r="FD154" s="306" t="s">
        <v>667</v>
      </c>
      <c r="FE154" s="306" t="s">
        <v>76</v>
      </c>
      <c r="FF154" s="306">
        <v>25868.347099999999</v>
      </c>
      <c r="FG154" s="306">
        <v>0.13929345213562067</v>
      </c>
      <c r="FH154" s="307">
        <v>849109</v>
      </c>
      <c r="FI154" s="308">
        <f t="shared" si="82"/>
        <v>609.42155007550843</v>
      </c>
      <c r="FJ154" s="308">
        <f t="shared" si="83"/>
        <v>1.6090535266553141</v>
      </c>
      <c r="FL154" s="101"/>
      <c r="FM154" s="101"/>
      <c r="FN154" s="101"/>
      <c r="FO154" s="101"/>
      <c r="FP154" s="374"/>
      <c r="FQ154" s="404"/>
      <c r="FR154" s="404"/>
    </row>
    <row r="155" spans="1:174">
      <c r="A155" s="205"/>
      <c r="B155" s="205" t="s">
        <v>304</v>
      </c>
      <c r="C155" s="400">
        <f>$AB70*KTDB_TripDistribution_2035!T$12 * (1+KTDB_발생량도착량_증가율!$C$7*2) * (1+KTDB_발생량도착량_증가율!$D$8*5)* (1+KTDB_발생량도착량_증가율!$E$8*5)</f>
        <v>3.4194913128261808</v>
      </c>
      <c r="D155" s="400">
        <f>$AB70*KTDB_TripDistribution_2035!U$12 * (1+KTDB_발생량도착량_증가율!$C$7*2) * (1+KTDB_발생량도착량_증가율!$D$8*5)* (1+KTDB_발생량도착량_증가율!$E$8*5)</f>
        <v>24.747558196276522</v>
      </c>
      <c r="E155" s="400">
        <f>$AB70*KTDB_TripDistribution_2035!V$12 * (1+KTDB_발생량도착량_증가율!$C$7*2) * (1+KTDB_발생량도착량_증가율!$D$8*5)* (1+KTDB_발생량도착량_증가율!$E$8*5)</f>
        <v>1.419706158369985</v>
      </c>
      <c r="F155" s="400">
        <f>$AB70*KTDB_TripDistribution_2035!W$12 * (1+KTDB_발생량도착량_증가율!$C$7*2) * (1+KTDB_발생량도착량_증가율!$D$8*5)* (1+KTDB_발생량도착량_증가율!$E$8*5)</f>
        <v>2.2310730618700565E-3</v>
      </c>
      <c r="G155" s="400">
        <f>$AB70*KTDB_TripDistribution_2035!X$12 * (1+KTDB_발생량도착량_증가율!$C$7*2) * (1+KTDB_발생량도착량_증가율!$D$8*5)* (1+KTDB_발생량도착량_증가율!$E$8*5)</f>
        <v>8.4284982337313515E-3</v>
      </c>
      <c r="H155" s="400">
        <f>$AB70*KTDB_TripDistribution_2035!Y$12 * (1+KTDB_발생량도착량_증가율!$C$7*2) * (1+KTDB_발생량도착량_증가율!$D$8*5)* (1+KTDB_발생량도착량_증가율!$E$8*5)</f>
        <v>29.597415238768292</v>
      </c>
      <c r="I155" s="56"/>
      <c r="J155" s="56"/>
      <c r="K155" s="206"/>
      <c r="L155" s="206" t="s">
        <v>304</v>
      </c>
      <c r="M155" s="206">
        <f>INDEX($A$145:$H$158,MATCH($L155,$B$145:$B$158,0),MATCH($M$144,$A$145:$H$145,0))*고양시_Modal_split!C$3 * 0.01</f>
        <v>9.5745756759133046E-3</v>
      </c>
      <c r="N155" s="206">
        <f>INDEX($A$145:$H$158,MATCH($L155,$B$145:$B$158,0),MATCH($M$144,$A$145:$H$145,0))*고양시_Modal_split!D$3 * 0.01</f>
        <v>1.608186764422153</v>
      </c>
      <c r="O155" s="206">
        <f>INDEX($A$145:$H$158,MATCH($L155,$B$145:$B$158,0),MATCH($M$144,$A$145:$H$145,0))*고양시_Modal_split!E$3 * 0.01</f>
        <v>0.19456905569980967</v>
      </c>
      <c r="P155" s="206">
        <f>INDEX($A$145:$H$158,MATCH($L155,$B$145:$B$158,0),MATCH($M$144,$A$145:$H$145,0))*고양시_Modal_split!F$3 * 0.01</f>
        <v>0.31356735338616076</v>
      </c>
      <c r="Q155" s="206">
        <f>INDEX($A$145:$H$158,MATCH($L155,$B$145:$B$158,0),MATCH($M$144,$A$145:$H$145,0))*고양시_Modal_split!G$3 * 0.01</f>
        <v>3.1459320078000862E-2</v>
      </c>
      <c r="R155" s="206">
        <f>INDEX($A$145:$H$158,MATCH($L155,$B$145:$B$158,0),MATCH($M$144,$A$145:$H$145,0))*고양시_Modal_split!H$3 * 0.01</f>
        <v>3.4194913128261811E-4</v>
      </c>
      <c r="S155" s="206">
        <f>INDEX($A$145:$H$158,MATCH($L155,$B$145:$B$158,0),MATCH($M$144,$A$145:$H$145,0))*고양시_Modal_split!I$3 * 0.01</f>
        <v>9.5061858496567828E-2</v>
      </c>
      <c r="T155" s="206">
        <f>INDEX($A$145:$H$158,MATCH($L155,$B$145:$B$158,0),MATCH($M$144,$A$145:$H$145,0))*고양시_Modal_split!J$3 * 0.01</f>
        <v>1.0408931556242895</v>
      </c>
      <c r="U155" s="206">
        <f>INDEX($A$145:$H$158,MATCH($L155,$B$145:$B$158,0),MATCH($M$144,$A$145:$H$145,0))*고양시_Modal_split!K$3 * 0.01</f>
        <v>5.1292369692392719E-3</v>
      </c>
      <c r="V155" s="206">
        <f>INDEX($A$145:$H$158,MATCH($L155,$B$145:$B$158,0),MATCH($M$144,$A$145:$H$145,0))*고양시_Modal_split!L$3 * 0.01</f>
        <v>0.10326863764735066</v>
      </c>
      <c r="W155" s="206">
        <f>INDEX($A$145:$H$158,MATCH($L155,$B$145:$B$158,0),MATCH($M$144,$A$145:$H$145,0))*고양시_Modal_split!M$3 * 0.01</f>
        <v>7.8648300195002154E-3</v>
      </c>
      <c r="X155" s="206">
        <f>INDEX($A$145:$H$158,MATCH($L155,$B$145:$B$158,0),MATCH($M$144,$A$145:$H$145,0))*고양시_Modal_split!N$3 * 0.01</f>
        <v>3.4194913128261814E-3</v>
      </c>
      <c r="Y155" s="206">
        <f>INDEX($A$145:$H$158,MATCH($L155,$B$145:$B$158,0),MATCH($M$144,$A$145:$H$145,0))*고양시_Modal_split!O$3 * 0.01</f>
        <v>6.1550843630871254E-3</v>
      </c>
      <c r="Z155" s="209">
        <f>INDEX($A$145:$H$158,MATCH($L155,$B$145:$B$158,0),MATCH($M$144,$A$145:$H$145,0))*고양시_Modal_split!P$3 * 0.01</f>
        <v>3.4194913128261808</v>
      </c>
      <c r="AA155" s="207">
        <f>INDEX($A$145:$H$158,MATCH($L155,$B$145:$B$158,0),MATCH($AA$144,$A$145:$H$145,0))*고양시_Modal_split!C$3 * 0.01</f>
        <v>6.9293162949574258E-2</v>
      </c>
      <c r="AB155" s="207">
        <f>INDEX($A$145:$H$158,MATCH($L155,$B$145:$B$158,0),MATCH($AA$144,$A$145:$H$145,0))*고양시_Modal_split!D$3 * 0.01</f>
        <v>11.63877661970885</v>
      </c>
      <c r="AC155" s="207">
        <f>INDEX($A$145:$H$158,MATCH($L155,$B$145:$B$158,0),MATCH($AA$144,$A$145:$H$145,0))*고양시_Modal_split!E$3 * 0.01</f>
        <v>1.4081360613681342</v>
      </c>
      <c r="AD155" s="207">
        <f>INDEX($A$145:$H$158,MATCH($L155,$B$145:$B$158,0),MATCH($AA$144,$A$145:$H$145,0))*고양시_Modal_split!F$3 * 0.01</f>
        <v>2.2693510865985571</v>
      </c>
      <c r="AE155" s="207">
        <f>INDEX($A$145:$H$158,MATCH($L155,$B$145:$B$158,0),MATCH($AA$144,$A$145:$H$145,0))*고양시_Modal_split!G$3 * 0.01</f>
        <v>0.22767753540574398</v>
      </c>
      <c r="AF155" s="207">
        <f>INDEX($A$145:$H$158,MATCH($L155,$B$145:$B$158,0),MATCH($AA$144,$A$145:$H$145,0))*고양시_Modal_split!H$3 * 0.01</f>
        <v>2.4747558196276521E-3</v>
      </c>
      <c r="AG155" s="207">
        <f>INDEX($A$145:$H$158,MATCH($L155,$B$145:$B$158,0),MATCH($AA$144,$A$145:$H$145,0))*고양시_Modal_split!I$3 * 0.01</f>
        <v>0.68798211785648733</v>
      </c>
      <c r="AH155" s="207">
        <f>INDEX($A$145:$H$158,MATCH($L155,$B$145:$B$158,0),MATCH($AA$144,$A$145:$H$145,0))*고양시_Modal_split!J$3 * 0.01</f>
        <v>7.5331567149465739</v>
      </c>
      <c r="AI155" s="207">
        <f>INDEX($A$145:$H$158,MATCH($L155,$B$145:$B$158,0),MATCH($AA$144,$A$145:$H$145,0))*고양시_Modal_split!K$3 * 0.01</f>
        <v>3.7121337294414782E-2</v>
      </c>
      <c r="AJ155" s="207">
        <f>INDEX($A$145:$H$158,MATCH($L155,$B$145:$B$158,0),MATCH($AA$144,$A$145:$H$145,0))*고양시_Modal_split!L$3 * 0.01</f>
        <v>0.74737625752755099</v>
      </c>
      <c r="AK155" s="207">
        <f>INDEX($A$145:$H$158,MATCH($L155,$B$145:$B$158,0),MATCH($AA$144,$A$145:$H$145,0))*고양시_Modal_split!M$3 * 0.01</f>
        <v>5.6919383851435995E-2</v>
      </c>
      <c r="AL155" s="207">
        <f>INDEX($A$145:$H$158,MATCH($L155,$B$145:$B$158,0),MATCH($AA$144,$A$145:$H$145,0))*고양시_Modal_split!N$3 * 0.01</f>
        <v>2.4747558196276526E-2</v>
      </c>
      <c r="AM155" s="207">
        <f>INDEX($A$145:$H$158,MATCH($L155,$B$145:$B$158,0),MATCH($AA$144,$A$145:$H$145,0))*고양시_Modal_split!O$3 * 0.01</f>
        <v>4.4545604753297739E-2</v>
      </c>
      <c r="AN155" s="207">
        <f>INDEX($A$145:$H$158,MATCH($L155,$B$145:$B$158,0),MATCH($AA$144,$A$145:$H$145,0))*고양시_Modal_split!P$3 * 0.01</f>
        <v>24.747558196276522</v>
      </c>
      <c r="AO155" s="303">
        <f>INDEX($A$145:$H$158,MATCH($L155,$B$145:$B$158,0),MATCH($AO$144,$A$145:$H$145,0))*고양시_Modal_split!C$3 * 0.01</f>
        <v>3.9751772434359579E-3</v>
      </c>
      <c r="AP155" s="303">
        <f>INDEX($A$145:$H$158,MATCH($L155,$B$145:$B$158,0),MATCH($AO$144,$A$145:$H$145,0))*고양시_Modal_split!D$3 * 0.01</f>
        <v>0.66768780628140412</v>
      </c>
      <c r="AQ155" s="303">
        <f>INDEX($A$145:$H$158,MATCH($L155,$B$145:$B$158,0),MATCH($AO$144,$A$145:$H$145,0))*고양시_Modal_split!E$3 * 0.01</f>
        <v>8.0781280411252154E-2</v>
      </c>
      <c r="AR155" s="303">
        <f>INDEX($A$145:$H$158,MATCH($L155,$B$145:$B$158,0),MATCH($AO$144,$A$145:$H$145,0))*고양시_Modal_split!F$3 * 0.01</f>
        <v>0.13018705472252762</v>
      </c>
      <c r="AS155" s="303">
        <f>INDEX($A$145:$H$158,MATCH($L155,$B$145:$B$158,0),MATCH($AO$144,$A$145:$H$145,0))*고양시_Modal_split!G$3 * 0.01</f>
        <v>1.3061296657003863E-2</v>
      </c>
      <c r="AT155" s="303">
        <f>INDEX($A$145:$H$158,MATCH($L155,$B$145:$B$158,0),MATCH($AO$144,$A$145:$H$145,0))*고양시_Modal_split!H$3 * 0.01</f>
        <v>1.419706158369985E-4</v>
      </c>
      <c r="AU155" s="303">
        <f>INDEX($A$145:$H$158,MATCH($L155,$B$145:$B$158,0),MATCH($AO$144,$A$145:$H$145,0))*고양시_Modal_split!I$3 * 0.01</f>
        <v>3.9467831202685585E-2</v>
      </c>
      <c r="AV155" s="303">
        <f>INDEX($A$145:$H$158,MATCH($L155,$B$145:$B$158,0),MATCH($AO$144,$A$145:$H$145,0))*고양시_Modal_split!J$3 * 0.01</f>
        <v>0.43215855460782343</v>
      </c>
      <c r="AW155" s="303">
        <f>INDEX($A$145:$H$158,MATCH($L155,$B$145:$B$158,0),MATCH($AO$144,$A$145:$H$145,0))*고양시_Modal_split!K$3 * 0.01</f>
        <v>2.1295592375549775E-3</v>
      </c>
      <c r="AX155" s="303">
        <f>INDEX($A$145:$H$158,MATCH($L155,$B$145:$B$158,0),MATCH($AO$144,$A$145:$H$145,0))*고양시_Modal_split!L$3 * 0.01</f>
        <v>4.287512598277355E-2</v>
      </c>
      <c r="AY155" s="303">
        <f>INDEX($A$145:$H$158,MATCH($L155,$B$145:$B$158,0),MATCH($AO$144,$A$145:$H$145,0))*고양시_Modal_split!M$3 * 0.01</f>
        <v>3.2653241642509657E-3</v>
      </c>
      <c r="AZ155" s="303">
        <f>INDEX($A$145:$H$158,MATCH($L155,$B$145:$B$158,0),MATCH($AO$144,$A$145:$H$145,0))*고양시_Modal_split!N$3 * 0.01</f>
        <v>1.4197061583699853E-3</v>
      </c>
      <c r="BA155" s="207">
        <f>INDEX($A$145:$H$158,MATCH($L155,$B$145:$B$158,0),MATCH($AO$144,$A$145:$H$145,0))*고양시_Modal_split!O$3 * 0.01</f>
        <v>2.5554710850659731E-3</v>
      </c>
      <c r="BB155" s="207">
        <f>INDEX($A$145:$H$158,MATCH($L155,$B$145:$B$158,0),MATCH($AO$144,$A$145:$H$145,0))*고양시_Modal_split!P$3 * 0.01</f>
        <v>1.419706158369985</v>
      </c>
      <c r="BC155" s="207">
        <f>INDEX($A$145:$H$158,MATCH($L155,$B$145:$B$158,0),MATCH($BC$144,$A$145:$H$145,0))*고양시_Modal_split!C$3 * 0.01</f>
        <v>6.2470045732361579E-6</v>
      </c>
      <c r="BD155" s="207">
        <f>INDEX($A$145:$H$158,MATCH($L155,$B$145:$B$158,0),MATCH($BC$144,$A$145:$H$145,0))*고양시_Modal_split!D$3 * 0.01</f>
        <v>1.0492736609974875E-3</v>
      </c>
      <c r="BE155" s="207">
        <f>INDEX($A$145:$H$158,MATCH($L155,$B$145:$B$158,0),MATCH($BC$144,$A$145:$H$145,0))*고양시_Modal_split!E$3 * 0.01</f>
        <v>1.2694805722040619E-4</v>
      </c>
      <c r="BF155" s="207">
        <f>INDEX($A$145:$H$158,MATCH($L155,$B$145:$B$158,0),MATCH($BC$144,$A$145:$H$145,0))*고양시_Modal_split!F$3 * 0.01</f>
        <v>2.0458939977348418E-4</v>
      </c>
      <c r="BG155" s="207">
        <f>INDEX($A$145:$H$158,MATCH($L155,$B$145:$B$158,0),MATCH($BC$144,$A$145:$H$145,0))*고양시_Modal_split!G$3 * 0.01</f>
        <v>2.0525872169204521E-5</v>
      </c>
      <c r="BH155" s="207">
        <f>INDEX($A$145:$H$158,MATCH($L155,$B$145:$B$158,0),MATCH($BC$144,$A$145:$H$145,0))*고양시_Modal_split!H$3 * 0.01</f>
        <v>2.2310730618700564E-7</v>
      </c>
      <c r="BI155" s="207">
        <f>INDEX($A$145:$H$158,MATCH($L155,$B$145:$B$158,0),MATCH($BC$144,$A$145:$H$145,0))*고양시_Modal_split!I$3 * 0.01</f>
        <v>6.2023831119987569E-5</v>
      </c>
      <c r="BJ155" s="207">
        <f>INDEX($A$145:$H$158,MATCH($L155,$B$145:$B$158,0),MATCH($BC$144,$A$145:$H$145,0))*고양시_Modal_split!J$3 * 0.01</f>
        <v>6.7913864003324529E-4</v>
      </c>
      <c r="BK155" s="207">
        <f>INDEX($A$145:$H$158,MATCH($L155,$B$145:$B$158,0),MATCH($BC$144,$A$145:$H$145,0))*고양시_Modal_split!K$3 * 0.01</f>
        <v>3.3466095928050848E-6</v>
      </c>
      <c r="BL155" s="207">
        <f>INDEX($A$145:$H$158,MATCH($L155,$B$145:$B$158,0),MATCH($BC$144,$A$145:$H$145,0))*고양시_Modal_split!L$3 * 0.01</f>
        <v>6.7378406468475703E-5</v>
      </c>
      <c r="BM155" s="207">
        <f>INDEX($A$145:$H$158,MATCH($L155,$B$145:$B$158,0),MATCH($BC$144,$A$145:$H$145,0))*고양시_Modal_split!M$3 * 0.01</f>
        <v>5.1314680423011302E-6</v>
      </c>
      <c r="BN155" s="207">
        <f>INDEX($A$145:$H$158,MATCH($L155,$B$145:$B$158,0),MATCH($BC$144,$A$145:$H$145,0))*고양시_Modal_split!N$3 * 0.01</f>
        <v>2.2310730618700567E-6</v>
      </c>
      <c r="BO155" s="207">
        <f>INDEX($A$145:$H$158,MATCH($L155,$B$145:$B$158,0),MATCH($BC$144,$A$145:$H$145,0))*고양시_Modal_split!O$3 * 0.01</f>
        <v>4.0159315113661016E-6</v>
      </c>
      <c r="BP155" s="207">
        <f>INDEX($A$145:$H$158,MATCH($L155,$B$145:$B$158,0),MATCH($BC$144,$A$145:$H$145,0))*고양시_Modal_split!P$3 * 0.01</f>
        <v>2.2310730618700565E-3</v>
      </c>
      <c r="BQ155" s="207">
        <f>INDEX($A$145:$H$158,MATCH($L155,$B$145:$B$158,0),MATCH($BQ$144,$A$145:$H$145,0))*고양시_Modal_split!C$3 * 0.01</f>
        <v>2.3599795054447783E-5</v>
      </c>
      <c r="BR155" s="207">
        <f>INDEX($A$145:$H$158,MATCH($L155,$B$145:$B$158,0),MATCH($BQ$144,$A$145:$H$145,0))*고양시_Modal_split!D$3 * 0.01</f>
        <v>3.9639227193238548E-3</v>
      </c>
      <c r="BS155" s="207">
        <f>INDEX($A$145:$H$158,MATCH($L155,$B$145:$B$158,0),MATCH($BQ$144,$A$145:$H$145,0))*고양시_Modal_split!E$3 * 0.01</f>
        <v>4.7958154949931386E-4</v>
      </c>
      <c r="BT155" s="207">
        <f>INDEX($A$145:$H$158,MATCH($L155,$B$145:$B$158,0),MATCH($BQ$144,$A$145:$H$145,0))*고양시_Modal_split!F$3 * 0.01</f>
        <v>7.7289328803316489E-4</v>
      </c>
      <c r="BU155" s="207">
        <f>INDEX($A$145:$H$158,MATCH($L155,$B$145:$B$158,0),MATCH($BQ$144,$A$145:$H$145,0))*고양시_Modal_split!G$3 * 0.01</f>
        <v>7.7542183750328427E-5</v>
      </c>
      <c r="BV155" s="207">
        <f>INDEX($A$145:$H$158,MATCH($L155,$B$145:$B$158,0),MATCH($BQ$144,$A$145:$H$145,0))*고양시_Modal_split!H$3 * 0.01</f>
        <v>8.4284982337313517E-7</v>
      </c>
      <c r="BW155" s="207">
        <f>INDEX($A$145:$H$158,MATCH($L155,$B$145:$B$158,0),MATCH($BQ$144,$A$145:$H$145,0))*고양시_Modal_split!I$3 * 0.01</f>
        <v>2.3431225089773155E-4</v>
      </c>
      <c r="BX155" s="207">
        <f>INDEX($A$145:$H$158,MATCH($L155,$B$145:$B$158,0),MATCH($BQ$144,$A$145:$H$145,0))*고양시_Modal_split!J$3 * 0.01</f>
        <v>2.5656348623478236E-3</v>
      </c>
      <c r="BY155" s="207">
        <f>INDEX($A$145:$H$158,MATCH($L155,$B$145:$B$158,0),MATCH($BQ$144,$A$145:$H$145,0))*고양시_Modal_split!K$3 * 0.01</f>
        <v>1.2642747350597027E-5</v>
      </c>
      <c r="BZ155" s="207">
        <f>INDEX($A$145:$H$158,MATCH($L155,$B$145:$B$158,0),MATCH($BQ$144,$A$145:$H$145,0))*고양시_Modal_split!L$3 * 0.01</f>
        <v>2.5454064665868682E-4</v>
      </c>
      <c r="CA155" s="207">
        <f>INDEX($A$145:$H$158,MATCH($L155,$B$145:$B$158,0),MATCH($BQ$144,$A$145:$H$145,0))*고양시_Modal_split!M$3 * 0.01</f>
        <v>1.9385545937582107E-5</v>
      </c>
      <c r="CB155" s="207">
        <f>INDEX($A$145:$H$158,MATCH($L155,$B$145:$B$158,0),MATCH($BQ$144,$A$145:$H$145,0))*고양시_Modal_split!N$3 * 0.01</f>
        <v>8.4284982337313525E-6</v>
      </c>
      <c r="CC155" s="207">
        <f>INDEX($A$145:$H$158,MATCH($L155,$B$145:$B$158,0),MATCH($BQ$144,$A$145:$H$145,0))*고양시_Modal_split!O$3 * 0.01</f>
        <v>1.5171296820716432E-5</v>
      </c>
      <c r="CD155" s="207">
        <f>INDEX($A$145:$H$158,MATCH($L155,$B$145:$B$158,0),MATCH($BQ$144,$A$145:$H$145,0))*고양시_Modal_split!P$3 * 0.01</f>
        <v>8.4284982337313515E-3</v>
      </c>
      <c r="CE155" s="304">
        <f t="shared" si="84"/>
        <v>8.2872762668551203E-2</v>
      </c>
      <c r="CF155" s="304">
        <f t="shared" si="64"/>
        <v>13.919664386792729</v>
      </c>
      <c r="CG155" s="304">
        <f t="shared" si="65"/>
        <v>1.6840929270859157</v>
      </c>
      <c r="CH155" s="304">
        <f t="shared" si="66"/>
        <v>2.7140829773950523</v>
      </c>
      <c r="CI155" s="304">
        <f t="shared" si="67"/>
        <v>0.27229622019666821</v>
      </c>
      <c r="CJ155" s="304">
        <f t="shared" si="68"/>
        <v>2.9597415238768292E-3</v>
      </c>
      <c r="CK155" s="304">
        <f t="shared" si="69"/>
        <v>0.82280814363775845</v>
      </c>
      <c r="CL155" s="304">
        <f t="shared" si="70"/>
        <v>9.0094531986810686</v>
      </c>
      <c r="CM155" s="304">
        <f t="shared" si="71"/>
        <v>4.4396122858152441E-2</v>
      </c>
      <c r="CN155" s="304">
        <f t="shared" si="72"/>
        <v>0.89384194021080221</v>
      </c>
      <c r="CO155" s="304">
        <f t="shared" si="73"/>
        <v>6.8074055049167054E-2</v>
      </c>
      <c r="CP155" s="304">
        <f t="shared" si="74"/>
        <v>2.9597415238768295E-2</v>
      </c>
      <c r="CQ155" s="304">
        <f t="shared" si="75"/>
        <v>5.3275347429782918E-2</v>
      </c>
      <c r="CR155" s="304">
        <f t="shared" si="76"/>
        <v>29.597415238768289</v>
      </c>
      <c r="CS155" s="305">
        <f t="shared" si="85"/>
        <v>0</v>
      </c>
      <c r="CV155" s="267"/>
      <c r="CW155" s="267" t="s">
        <v>304</v>
      </c>
      <c r="CX155" s="267">
        <f>INDEX($M$144:$Z$158,MATCH($CW155,$L$144:$L$158,0),MATCH(CX$145,$M$145:$Z$145,0))/INDEX(고양시_재차인원!$D$4:$H$35,MATCH("고양시",고양시_재차인원!$B$4:$B$35,0),MATCH($CX$144,고양시_재차인원!$D$4:$H$4,0))</f>
        <v>1.4358810396626365</v>
      </c>
      <c r="CY155" s="267">
        <f>INDEX($M$144:$Z$158,MATCH($CW155,$L$144:$L$158,0),MATCH(CY$145,$M$145:$Z$145,0))/INDEX(고양시_재차인원!$K$4:$O$20,MATCH("경기도",고양시_재차인원!$K$4:$K$20,0),MATCH(CY$145,고양시_재차인원!$K$4:$O$4,0))</f>
        <v>1.1877357807663012E-5</v>
      </c>
      <c r="CZ155" s="267">
        <f>INDEX($M$144:$Z$158,MATCH($CW155,$L$144:$L$158,0),MATCH(CZ$145,$M$145:$Z$145,0))/INDEX(고양시_재차인원!$K$4:$O$20,MATCH("경기도",고양시_재차인원!$K$4:$K$20,0),MATCH(CZ$145,고양시_재차인원!$K$4:$O$4,0))</f>
        <v>3.3019054705303173E-3</v>
      </c>
      <c r="DA155" s="267">
        <f>INDEX($M$144:$Z$158,MATCH($CW155,$L$144:$L$158,0),MATCH(DA$145,$M$145:$Z$145,0))/INDEX(고양시_재차인원!$D$4:$H$35,MATCH("고양시",고양시_재차인원!$B$4:$B$35,0),MATCH($CX$144,고양시_재차인원!$D$4:$H$4,0))</f>
        <v>9.220414075656308E-2</v>
      </c>
      <c r="DB155" s="267">
        <f>INDEX($AA$144:$AN$158,MATCH($CW155,$L$144:$L$158,0),MATCH(DB$145,$AA$145:$AN$145,0))/INDEX(고양시_재차인원!$D$4:$H$35,MATCH("고양시",고양시_재차인원!$B$4:$B$35,0),MATCH($DB$144,고양시_재차인원!$D$4:$H$4,0))</f>
        <v>8.2544515033396095</v>
      </c>
      <c r="DC155" s="267">
        <f>INDEX($AA$144:$AN$158,MATCH($CW155,$L$144:$L$158,0),MATCH(DC$145,$AA$145:$AN$145,0))/INDEX(고양시_재차인원!$K$4:$O$20,MATCH("경기도",고양시_재차인원!$K$4:$K$20,0),MATCH(DC$145,고양시_재차인원!$K$4:$O$4,0))</f>
        <v>8.5958868344135196E-5</v>
      </c>
      <c r="DD155" s="267">
        <f>INDEX($AA$144:$AN$158,MATCH($CW155,$L$144:$L$158,0),MATCH(DD$145,$AA$145:$AN$145,0))/INDEX(고양시_재차인원!$K$4:$O$20,MATCH("경기도",고양시_재차인원!$K$4:$K$20,0),MATCH(DD$145,고양시_재차인원!$K$4:$O$4,0))</f>
        <v>2.3896565399669584E-2</v>
      </c>
      <c r="DE155" s="267">
        <f>INDEX($AA$144:$AN$158,MATCH($CW155,$L$144:$L$158,0),MATCH(DE$145,$AA$145:$AN$145,0))/INDEX(고양시_재차인원!$D$4:$H$35,MATCH("고양시",고양시_재차인원!$B$4:$B$35,0),MATCH($DB$144,고양시_재차인원!$D$4:$H$4,0))</f>
        <v>0.53005408335287307</v>
      </c>
      <c r="DF155" s="267">
        <f>INDEX($AO$144:$BB$158,MATCH($CW155,$L$144:$L$158,0),MATCH(DF$145,$AO$145:$BB$145,0))/INDEX(고양시_재차인원!$D$4:$H$35,MATCH("고양시",고양시_재차인원!$B$4:$B$35,0),MATCH($DF$144,고양시_재차인원!$D$4:$H$4,0))</f>
        <v>0.51360600483184926</v>
      </c>
      <c r="DG155" s="267">
        <f>INDEX($AO$144:$BB$158,MATCH($CW155,$L$144:$L$158,0),MATCH(DG$145,$AO$145:$BB$145,0))/INDEX(고양시_재차인원!$K$4:$O$20,MATCH("경기도",고양시_재차인원!$K$4:$K$20,0),MATCH(DG$145,고양시_재차인원!$K$4:$O$4,0))</f>
        <v>4.931247510837044E-6</v>
      </c>
      <c r="DH155" s="267">
        <f>INDEX($AO$144:$BB$158,MATCH($CW155,$L$144:$L$158,0),MATCH(DH$145,$AO$145:$BB$145,0))/INDEX(고양시_재차인원!$K$4:$O$20,MATCH("경기도",고양시_재차인원!$K$4:$K$20,0),MATCH(DH$145,고양시_재차인원!$K$4:$O$4,0))</f>
        <v>1.3708868080126984E-3</v>
      </c>
      <c r="DI155" s="267">
        <f>INDEX($AO$144:$BB$158,MATCH($CW155,$L$144:$L$158,0),MATCH(DI$145,$AO$145:$BB$145,0))/INDEX(고양시_재차인원!$D$4:$H$35,MATCH("고양시",고양시_재차인원!$B$4:$B$35,0),MATCH($DF$144,고양시_재차인원!$D$4:$H$4,0))</f>
        <v>3.298086614059504E-2</v>
      </c>
      <c r="DJ155" s="267">
        <f>INDEX($BC$144:$BP$158,MATCH($CW155,$L$144:$L$158,0),MATCH(DJ$145,$BC$145:$BP$145,0))/INDEX(고양시_재차인원!$D$4:$H$35,MATCH("고양시",고양시_재차인원!$B$4:$B$35,0),MATCH($DJ$144,고양시_재차인원!$D$4:$H$4,0))</f>
        <v>7.7152475073344665E-4</v>
      </c>
      <c r="DK155" s="267">
        <f>INDEX($BC$144:$BP$158,MATCH($CW155,$L$144:$L$158,0),MATCH(DK$145,$BC$145:$BP$145,0))/INDEX(고양시_재차인원!$K$4:$O$20,MATCH("경기도",고양시_재차인원!$K$4:$K$20,0),MATCH(DK$145,고양시_재차인원!$K$4:$O$4,0))</f>
        <v>7.7494722538035994E-9</v>
      </c>
      <c r="DL155" s="267">
        <f>INDEX($BC$144:$BP$158,MATCH($CW155,$L$144:$L$158,0),MATCH(DL$145,$BC$145:$BP$145,0))/INDEX(고양시_재차인원!$K$4:$O$20,MATCH("경기도",고양시_재차인원!$K$4:$K$20,0),MATCH(DL$145,고양시_재차인원!$K$4:$O$4,0))</f>
        <v>2.1543532865574009E-6</v>
      </c>
      <c r="DM155" s="267">
        <f>INDEX($BC$144:$BP$158,MATCH($CW155,$L$144:$L$158,0),MATCH(DM$145,$BC$145:$BP$145,0))/INDEX(고양시_재차인원!$D$4:$H$35,MATCH("고양시",고양시_재차인원!$B$4:$B$35,0),MATCH($DJ$144,고양시_재차인원!$D$4:$H$4,0))</f>
        <v>4.9542945932702719E-5</v>
      </c>
      <c r="DN155" s="267">
        <f>INDEX($BQ$144:$CD$158,MATCH($CW155,$L$144:$L$158,0),MATCH(DN$145,$BQ$145:$CD$145,0))/INDEX(고양시_재차인원!$D$4:$H$35,MATCH("고양시",고양시_재차인원!$B$4:$B$35,0),MATCH($DN$144,고양시_재차인원!$D$4:$H$4,0))</f>
        <v>3.1459704121617896E-3</v>
      </c>
      <c r="DO155" s="267">
        <f>INDEX($BQ$144:$CD$158,MATCH($CW155,$L$144:$L$158,0),MATCH(DO$145,$BQ$145:$CD$145,0))/INDEX(고양시_재차인원!$K$4:$O$20,MATCH("경기도",고양시_재차인원!$K$4:$K$20,0),MATCH(DO$145,고양시_재차인원!$K$4:$O$4,0))</f>
        <v>2.9275784069924807E-8</v>
      </c>
      <c r="DP155" s="267">
        <f>INDEX($BQ$144:$CD$158,MATCH($CW155,$L$144:$L$158,0),MATCH(DP$145,$BQ$145:$CD$145,0))/INDEX(고양시_재차인원!$K$4:$O$20,MATCH("경기도",고양시_재차인원!$K$4:$K$20,0),MATCH(DP$145,고양시_재차인원!$K$4:$O$4,0))</f>
        <v>8.1386679714390956E-6</v>
      </c>
      <c r="DQ155" s="267">
        <f>INDEX($BQ$144:$CD$158,MATCH($CW155,$L$144:$L$158,0),MATCH(DQ$145,$BQ$145:$CD$145,0))/INDEX(고양시_재차인원!$D$4:$H$35,MATCH("고양시",고양시_재차인원!$B$4:$B$35,0),MATCH($DN$144,고양시_재차인원!$D$4:$H$4,0))</f>
        <v>2.0201638623705304E-4</v>
      </c>
      <c r="DR155" s="270">
        <f t="shared" si="86"/>
        <v>10.20785604299699</v>
      </c>
      <c r="DS155" s="270">
        <f t="shared" si="77"/>
        <v>1.0280449891895898E-4</v>
      </c>
      <c r="DT155" s="270">
        <f t="shared" si="78"/>
        <v>2.8579650699470598E-2</v>
      </c>
      <c r="DU155" s="270">
        <f t="shared" si="79"/>
        <v>0.65549064958220093</v>
      </c>
      <c r="DW155" s="278"/>
      <c r="DX155" s="278" t="s">
        <v>304</v>
      </c>
      <c r="DY155" s="281">
        <f t="shared" si="87"/>
        <v>10.863346692579192</v>
      </c>
      <c r="DZ155" s="281">
        <f t="shared" si="88"/>
        <v>2.8682455198389557E-2</v>
      </c>
      <c r="EB155" s="278"/>
      <c r="EC155" s="278" t="s">
        <v>304</v>
      </c>
      <c r="ED155" s="281">
        <f t="shared" si="89"/>
        <v>10.863346692579192</v>
      </c>
      <c r="EE155" s="281">
        <f t="shared" si="80"/>
        <v>2.8682455198389557E-2</v>
      </c>
      <c r="EL155" s="306" t="s">
        <v>667</v>
      </c>
      <c r="EM155" s="306" t="s">
        <v>220</v>
      </c>
      <c r="EN155" s="306">
        <v>51875.97</v>
      </c>
      <c r="EO155" s="306">
        <v>0.27933686355182291</v>
      </c>
      <c r="EP155" s="307">
        <v>849110</v>
      </c>
      <c r="EQ155" s="308">
        <f t="shared" si="90"/>
        <v>1257.9765726859673</v>
      </c>
      <c r="ER155" s="308">
        <f t="shared" si="91"/>
        <v>3.321431020086711</v>
      </c>
      <c r="ET155" s="420" t="s">
        <v>667</v>
      </c>
      <c r="EU155" s="420" t="s">
        <v>220</v>
      </c>
      <c r="EV155" s="420">
        <v>51875.97</v>
      </c>
      <c r="EW155" s="420">
        <v>0.27933686355182291</v>
      </c>
      <c r="EX155" s="421">
        <v>849110</v>
      </c>
      <c r="EY155" s="422">
        <f t="shared" si="92"/>
        <v>1222.1242403644173</v>
      </c>
      <c r="EZ155" s="422">
        <f t="shared" si="81"/>
        <v>3.2267702360142398</v>
      </c>
      <c r="FA155">
        <v>0</v>
      </c>
      <c r="FD155" s="306" t="s">
        <v>667</v>
      </c>
      <c r="FE155" s="306" t="s">
        <v>220</v>
      </c>
      <c r="FF155" s="306">
        <v>51875.97</v>
      </c>
      <c r="FG155" s="306">
        <v>0.27933686355182291</v>
      </c>
      <c r="FH155" s="307">
        <v>849110</v>
      </c>
      <c r="FI155" s="308">
        <f t="shared" si="82"/>
        <v>1222.1242403644173</v>
      </c>
      <c r="FJ155" s="308">
        <f t="shared" si="83"/>
        <v>3.2267702360142398</v>
      </c>
      <c r="FL155" s="101"/>
      <c r="FM155" s="101"/>
      <c r="FN155" s="101"/>
      <c r="FO155" s="101"/>
      <c r="FP155" s="374"/>
      <c r="FQ155" s="404"/>
      <c r="FR155" s="404"/>
    </row>
    <row r="156" spans="1:174" ht="25">
      <c r="A156" s="205"/>
      <c r="B156" s="205" t="s">
        <v>305</v>
      </c>
      <c r="C156" s="400">
        <f>$AB71*KTDB_TripDistribution_2035!T$12 * (1+KTDB_발생량도착량_증가율!$C$7*2) * (1+KTDB_발생량도착량_증가율!$D$8*5)* (1+KTDB_발생량도착량_증가율!$E$8*5)</f>
        <v>10.563785662838022</v>
      </c>
      <c r="D156" s="400">
        <f>$AB71*KTDB_TripDistribution_2035!U$12 * (1+KTDB_발생량도착량_증가율!$C$7*2) * (1+KTDB_발생량도착량_증가율!$D$8*5)* (1+KTDB_발생량도착량_증가율!$E$8*5)</f>
        <v>76.452277999211404</v>
      </c>
      <c r="E156" s="400">
        <f>$AB71*KTDB_TripDistribution_2035!V$12 * (1+KTDB_발생량도착량_증가율!$C$7*2) * (1+KTDB_발생량도착량_증가율!$D$8*5)* (1+KTDB_발생량도착량_증가율!$E$8*5)</f>
        <v>4.3858779535358465</v>
      </c>
      <c r="F156" s="400">
        <f>$AB71*KTDB_TripDistribution_2035!W$12 * (1+KTDB_발생량도착량_증가율!$C$7*2) * (1+KTDB_발생량도착량_증가율!$D$8*5)* (1+KTDB_발생량도착량_증가율!$E$8*5)</f>
        <v>6.8924221375628531E-3</v>
      </c>
      <c r="G156" s="400">
        <f>$AB71*KTDB_TripDistribution_2035!X$12 * (1+KTDB_발생량도착량_증가율!$C$7*2) * (1+KTDB_발생량도착량_증가율!$D$8*5)* (1+KTDB_발생량도착량_증가율!$E$8*5)</f>
        <v>2.6038039186348637E-2</v>
      </c>
      <c r="H156" s="400">
        <f>$AB71*KTDB_TripDistribution_2035!Y$12 * (1+KTDB_발생량도착량_증가율!$C$7*2) * (1+KTDB_발생량도착량_증가율!$D$8*5)* (1+KTDB_발생량도착량_증가율!$E$8*5)</f>
        <v>91.434872076909187</v>
      </c>
      <c r="I156" s="56"/>
      <c r="J156" s="56"/>
      <c r="K156" s="206"/>
      <c r="L156" s="206" t="s">
        <v>305</v>
      </c>
      <c r="M156" s="206">
        <f>INDEX($A$145:$H$158,MATCH($L156,$B$145:$B$158,0),MATCH($M$144,$A$145:$H$145,0))*고양시_Modal_split!C$3 * 0.01</f>
        <v>2.957859985594646E-2</v>
      </c>
      <c r="N156" s="206">
        <f>INDEX($A$145:$H$158,MATCH($L156,$B$145:$B$158,0),MATCH($M$144,$A$145:$H$145,0))*고양시_Modal_split!D$3 * 0.01</f>
        <v>4.9681483972327225</v>
      </c>
      <c r="O156" s="206">
        <f>INDEX($A$145:$H$158,MATCH($L156,$B$145:$B$158,0),MATCH($M$144,$A$145:$H$145,0))*고양시_Modal_split!E$3 * 0.01</f>
        <v>0.60107940421548345</v>
      </c>
      <c r="P156" s="206">
        <f>INDEX($A$145:$H$158,MATCH($L156,$B$145:$B$158,0),MATCH($M$144,$A$145:$H$145,0))*고양시_Modal_split!F$3 * 0.01</f>
        <v>0.96869914528224654</v>
      </c>
      <c r="Q156" s="206">
        <f>INDEX($A$145:$H$158,MATCH($L156,$B$145:$B$158,0),MATCH($M$144,$A$145:$H$145,0))*고양시_Modal_split!G$3 * 0.01</f>
        <v>9.7186828098109801E-2</v>
      </c>
      <c r="R156" s="206">
        <f>INDEX($A$145:$H$158,MATCH($L156,$B$145:$B$158,0),MATCH($M$144,$A$145:$H$145,0))*고양시_Modal_split!H$3 * 0.01</f>
        <v>1.0563785662838024E-3</v>
      </c>
      <c r="S156" s="206">
        <f>INDEX($A$145:$H$158,MATCH($L156,$B$145:$B$158,0),MATCH($M$144,$A$145:$H$145,0))*고양시_Modal_split!I$3 * 0.01</f>
        <v>0.29367324142689699</v>
      </c>
      <c r="T156" s="206">
        <f>INDEX($A$145:$H$158,MATCH($L156,$B$145:$B$158,0),MATCH($M$144,$A$145:$H$145,0))*고양시_Modal_split!J$3 * 0.01</f>
        <v>3.2156163557678941</v>
      </c>
      <c r="U156" s="206">
        <f>INDEX($A$145:$H$158,MATCH($L156,$B$145:$B$158,0),MATCH($M$144,$A$145:$H$145,0))*고양시_Modal_split!K$3 * 0.01</f>
        <v>1.5845678494257033E-2</v>
      </c>
      <c r="V156" s="206">
        <f>INDEX($A$145:$H$158,MATCH($L156,$B$145:$B$158,0),MATCH($M$144,$A$145:$H$145,0))*고양시_Modal_split!L$3 * 0.01</f>
        <v>0.31902632701770828</v>
      </c>
      <c r="W156" s="206">
        <f>INDEX($A$145:$H$158,MATCH($L156,$B$145:$B$158,0),MATCH($M$144,$A$145:$H$145,0))*고양시_Modal_split!M$3 * 0.01</f>
        <v>2.429670702452745E-2</v>
      </c>
      <c r="X156" s="206">
        <f>INDEX($A$145:$H$158,MATCH($L156,$B$145:$B$158,0),MATCH($M$144,$A$145:$H$145,0))*고양시_Modal_split!N$3 * 0.01</f>
        <v>1.0563785662838023E-2</v>
      </c>
      <c r="Y156" s="206">
        <f>INDEX($A$145:$H$158,MATCH($L156,$B$145:$B$158,0),MATCH($M$144,$A$145:$H$145,0))*고양시_Modal_split!O$3 * 0.01</f>
        <v>1.9014814193108437E-2</v>
      </c>
      <c r="Z156" s="209">
        <f>INDEX($A$145:$H$158,MATCH($L156,$B$145:$B$158,0),MATCH($M$144,$A$145:$H$145,0))*고양시_Modal_split!P$3 * 0.01</f>
        <v>10.563785662838022</v>
      </c>
      <c r="AA156" s="207">
        <f>INDEX($A$145:$H$158,MATCH($L156,$B$145:$B$158,0),MATCH($AA$144,$A$145:$H$145,0))*고양시_Modal_split!C$3 * 0.01</f>
        <v>0.21406637839779191</v>
      </c>
      <c r="AB156" s="207">
        <f>INDEX($A$145:$H$158,MATCH($L156,$B$145:$B$158,0),MATCH($AA$144,$A$145:$H$145,0))*고양시_Modal_split!D$3 * 0.01</f>
        <v>35.955506343029121</v>
      </c>
      <c r="AC156" s="207">
        <f>INDEX($A$145:$H$158,MATCH($L156,$B$145:$B$158,0),MATCH($AA$144,$A$145:$H$145,0))*고양시_Modal_split!E$3 * 0.01</f>
        <v>4.3501346181551286</v>
      </c>
      <c r="AD156" s="207">
        <f>INDEX($A$145:$H$158,MATCH($L156,$B$145:$B$158,0),MATCH($AA$144,$A$145:$H$145,0))*고양시_Modal_split!F$3 * 0.01</f>
        <v>7.0106738925276852</v>
      </c>
      <c r="AE156" s="207">
        <f>INDEX($A$145:$H$158,MATCH($L156,$B$145:$B$158,0),MATCH($AA$144,$A$145:$H$145,0))*고양시_Modal_split!G$3 * 0.01</f>
        <v>0.70336095759274486</v>
      </c>
      <c r="AF156" s="207">
        <f>INDEX($A$145:$H$158,MATCH($L156,$B$145:$B$158,0),MATCH($AA$144,$A$145:$H$145,0))*고양시_Modal_split!H$3 * 0.01</f>
        <v>7.6452277999211407E-3</v>
      </c>
      <c r="AG156" s="207">
        <f>INDEX($A$145:$H$158,MATCH($L156,$B$145:$B$158,0),MATCH($AA$144,$A$145:$H$145,0))*고양시_Modal_split!I$3 * 0.01</f>
        <v>2.1253733283780769</v>
      </c>
      <c r="AH156" s="207">
        <f>INDEX($A$145:$H$158,MATCH($L156,$B$145:$B$158,0),MATCH($AA$144,$A$145:$H$145,0))*고양시_Modal_split!J$3 * 0.01</f>
        <v>23.272073422959952</v>
      </c>
      <c r="AI156" s="207">
        <f>INDEX($A$145:$H$158,MATCH($L156,$B$145:$B$158,0),MATCH($AA$144,$A$145:$H$145,0))*고양시_Modal_split!K$3 * 0.01</f>
        <v>0.1146784169988171</v>
      </c>
      <c r="AJ156" s="207">
        <f>INDEX($A$145:$H$158,MATCH($L156,$B$145:$B$158,0),MATCH($AA$144,$A$145:$H$145,0))*고양시_Modal_split!L$3 * 0.01</f>
        <v>2.3088587955761843</v>
      </c>
      <c r="AK156" s="207">
        <f>INDEX($A$145:$H$158,MATCH($L156,$B$145:$B$158,0),MATCH($AA$144,$A$145:$H$145,0))*고양시_Modal_split!M$3 * 0.01</f>
        <v>0.17584023939818622</v>
      </c>
      <c r="AL156" s="207">
        <f>INDEX($A$145:$H$158,MATCH($L156,$B$145:$B$158,0),MATCH($AA$144,$A$145:$H$145,0))*고양시_Modal_split!N$3 * 0.01</f>
        <v>7.6452277999211407E-2</v>
      </c>
      <c r="AM156" s="207">
        <f>INDEX($A$145:$H$158,MATCH($L156,$B$145:$B$158,0),MATCH($AA$144,$A$145:$H$145,0))*고양시_Modal_split!O$3 * 0.01</f>
        <v>0.13761410039858052</v>
      </c>
      <c r="AN156" s="207">
        <f>INDEX($A$145:$H$158,MATCH($L156,$B$145:$B$158,0),MATCH($AA$144,$A$145:$H$145,0))*고양시_Modal_split!P$3 * 0.01</f>
        <v>76.452277999211404</v>
      </c>
      <c r="AO156" s="303">
        <f>INDEX($A$145:$H$158,MATCH($L156,$B$145:$B$158,0),MATCH($AO$144,$A$145:$H$145,0))*고양시_Modal_split!C$3 * 0.01</f>
        <v>1.228045826990037E-2</v>
      </c>
      <c r="AP156" s="303">
        <f>INDEX($A$145:$H$158,MATCH($L156,$B$145:$B$158,0),MATCH($AO$144,$A$145:$H$145,0))*고양시_Modal_split!D$3 * 0.01</f>
        <v>2.0626784015479087</v>
      </c>
      <c r="AQ156" s="303">
        <f>INDEX($A$145:$H$158,MATCH($L156,$B$145:$B$158,0),MATCH($AO$144,$A$145:$H$145,0))*고양시_Modal_split!E$3 * 0.01</f>
        <v>0.24955645555618966</v>
      </c>
      <c r="AR156" s="303">
        <f>INDEX($A$145:$H$158,MATCH($L156,$B$145:$B$158,0),MATCH($AO$144,$A$145:$H$145,0))*고양시_Modal_split!F$3 * 0.01</f>
        <v>0.40218500833923715</v>
      </c>
      <c r="AS156" s="303">
        <f>INDEX($A$145:$H$158,MATCH($L156,$B$145:$B$158,0),MATCH($AO$144,$A$145:$H$145,0))*고양시_Modal_split!G$3 * 0.01</f>
        <v>4.035007717252978E-2</v>
      </c>
      <c r="AT156" s="303">
        <f>INDEX($A$145:$H$158,MATCH($L156,$B$145:$B$158,0),MATCH($AO$144,$A$145:$H$145,0))*고양시_Modal_split!H$3 * 0.01</f>
        <v>4.3858779535358469E-4</v>
      </c>
      <c r="AU156" s="303">
        <f>INDEX($A$145:$H$158,MATCH($L156,$B$145:$B$158,0),MATCH($AO$144,$A$145:$H$145,0))*고양시_Modal_split!I$3 * 0.01</f>
        <v>0.12192740710829653</v>
      </c>
      <c r="AV156" s="303">
        <f>INDEX($A$145:$H$158,MATCH($L156,$B$145:$B$158,0),MATCH($AO$144,$A$145:$H$145,0))*고양시_Modal_split!J$3 * 0.01</f>
        <v>1.3350612490563116</v>
      </c>
      <c r="AW156" s="303">
        <f>INDEX($A$145:$H$158,MATCH($L156,$B$145:$B$158,0),MATCH($AO$144,$A$145:$H$145,0))*고양시_Modal_split!K$3 * 0.01</f>
        <v>6.5788169303037693E-3</v>
      </c>
      <c r="AX156" s="303">
        <f>INDEX($A$145:$H$158,MATCH($L156,$B$145:$B$158,0),MATCH($AO$144,$A$145:$H$145,0))*고양시_Modal_split!L$3 * 0.01</f>
        <v>0.13245351419678256</v>
      </c>
      <c r="AY156" s="303">
        <f>INDEX($A$145:$H$158,MATCH($L156,$B$145:$B$158,0),MATCH($AO$144,$A$145:$H$145,0))*고양시_Modal_split!M$3 * 0.01</f>
        <v>1.0087519293132445E-2</v>
      </c>
      <c r="AZ156" s="303">
        <f>INDEX($A$145:$H$158,MATCH($L156,$B$145:$B$158,0),MATCH($AO$144,$A$145:$H$145,0))*고양시_Modal_split!N$3 * 0.01</f>
        <v>4.3858779535358465E-3</v>
      </c>
      <c r="BA156" s="207">
        <f>INDEX($A$145:$H$158,MATCH($L156,$B$145:$B$158,0),MATCH($AO$144,$A$145:$H$145,0))*고양시_Modal_split!O$3 * 0.01</f>
        <v>7.8945803163645231E-3</v>
      </c>
      <c r="BB156" s="207">
        <f>INDEX($A$145:$H$158,MATCH($L156,$B$145:$B$158,0),MATCH($AO$144,$A$145:$H$145,0))*고양시_Modal_split!P$3 * 0.01</f>
        <v>4.3858779535358465</v>
      </c>
      <c r="BC156" s="207">
        <f>INDEX($A$145:$H$158,MATCH($L156,$B$145:$B$158,0),MATCH($BC$144,$A$145:$H$145,0))*고양시_Modal_split!C$3 * 0.01</f>
        <v>1.9298781985175988E-5</v>
      </c>
      <c r="BD156" s="207">
        <f>INDEX($A$145:$H$158,MATCH($L156,$B$145:$B$158,0),MATCH($BC$144,$A$145:$H$145,0))*고양시_Modal_split!D$3 * 0.01</f>
        <v>3.2415061312958101E-3</v>
      </c>
      <c r="BE156" s="207">
        <f>INDEX($A$145:$H$158,MATCH($L156,$B$145:$B$158,0),MATCH($BC$144,$A$145:$H$145,0))*고양시_Modal_split!E$3 * 0.01</f>
        <v>3.9217881962732632E-4</v>
      </c>
      <c r="BF156" s="207">
        <f>INDEX($A$145:$H$158,MATCH($L156,$B$145:$B$158,0),MATCH($BC$144,$A$145:$H$145,0))*고양시_Modal_split!F$3 * 0.01</f>
        <v>6.3203511001451353E-4</v>
      </c>
      <c r="BG156" s="207">
        <f>INDEX($A$145:$H$158,MATCH($L156,$B$145:$B$158,0),MATCH($BC$144,$A$145:$H$145,0))*고양시_Modal_split!G$3 * 0.01</f>
        <v>6.3410283665578241E-5</v>
      </c>
      <c r="BH156" s="207">
        <f>INDEX($A$145:$H$158,MATCH($L156,$B$145:$B$158,0),MATCH($BC$144,$A$145:$H$145,0))*고양시_Modal_split!H$3 * 0.01</f>
        <v>6.8924221375628526E-7</v>
      </c>
      <c r="BI156" s="207">
        <f>INDEX($A$145:$H$158,MATCH($L156,$B$145:$B$158,0),MATCH($BC$144,$A$145:$H$145,0))*고양시_Modal_split!I$3 * 0.01</f>
        <v>1.9160933542424733E-4</v>
      </c>
      <c r="BJ156" s="207">
        <f>INDEX($A$145:$H$158,MATCH($L156,$B$145:$B$158,0),MATCH($BC$144,$A$145:$H$145,0))*고양시_Modal_split!J$3 * 0.01</f>
        <v>2.0980532986741326E-3</v>
      </c>
      <c r="BK156" s="207">
        <f>INDEX($A$145:$H$158,MATCH($L156,$B$145:$B$158,0),MATCH($BC$144,$A$145:$H$145,0))*고양시_Modal_split!K$3 * 0.01</f>
        <v>1.033863320634428E-5</v>
      </c>
      <c r="BL156" s="207">
        <f>INDEX($A$145:$H$158,MATCH($L156,$B$145:$B$158,0),MATCH($BC$144,$A$145:$H$145,0))*고양시_Modal_split!L$3 * 0.01</f>
        <v>2.0815114855439815E-4</v>
      </c>
      <c r="BM156" s="207">
        <f>INDEX($A$145:$H$158,MATCH($L156,$B$145:$B$158,0),MATCH($BC$144,$A$145:$H$145,0))*고양시_Modal_split!M$3 * 0.01</f>
        <v>1.585257091639456E-5</v>
      </c>
      <c r="BN156" s="207">
        <f>INDEX($A$145:$H$158,MATCH($L156,$B$145:$B$158,0),MATCH($BC$144,$A$145:$H$145,0))*고양시_Modal_split!N$3 * 0.01</f>
        <v>6.892422137562853E-6</v>
      </c>
      <c r="BO156" s="207">
        <f>INDEX($A$145:$H$158,MATCH($L156,$B$145:$B$158,0),MATCH($BC$144,$A$145:$H$145,0))*고양시_Modal_split!O$3 * 0.01</f>
        <v>1.2406359847613134E-5</v>
      </c>
      <c r="BP156" s="207">
        <f>INDEX($A$145:$H$158,MATCH($L156,$B$145:$B$158,0),MATCH($BC$144,$A$145:$H$145,0))*고양시_Modal_split!P$3 * 0.01</f>
        <v>6.8924221375628539E-3</v>
      </c>
      <c r="BQ156" s="207">
        <f>INDEX($A$145:$H$158,MATCH($L156,$B$145:$B$158,0),MATCH($BQ$144,$A$145:$H$145,0))*고양시_Modal_split!C$3 * 0.01</f>
        <v>7.2906509721776177E-5</v>
      </c>
      <c r="BR156" s="207">
        <f>INDEX($A$145:$H$158,MATCH($L156,$B$145:$B$158,0),MATCH($BQ$144,$A$145:$H$145,0))*고양시_Modal_split!D$3 * 0.01</f>
        <v>1.2245689829339764E-2</v>
      </c>
      <c r="BS156" s="207">
        <f>INDEX($A$145:$H$158,MATCH($L156,$B$145:$B$158,0),MATCH($BQ$144,$A$145:$H$145,0))*고양시_Modal_split!E$3 * 0.01</f>
        <v>1.4815644297032375E-3</v>
      </c>
      <c r="BT156" s="207">
        <f>INDEX($A$145:$H$158,MATCH($L156,$B$145:$B$158,0),MATCH($BQ$144,$A$145:$H$145,0))*고양시_Modal_split!F$3 * 0.01</f>
        <v>2.3876881933881699E-3</v>
      </c>
      <c r="BU156" s="207">
        <f>INDEX($A$145:$H$158,MATCH($L156,$B$145:$B$158,0),MATCH($BQ$144,$A$145:$H$145,0))*고양시_Modal_split!G$3 * 0.01</f>
        <v>2.3954996051440744E-4</v>
      </c>
      <c r="BV156" s="207">
        <f>INDEX($A$145:$H$158,MATCH($L156,$B$145:$B$158,0),MATCH($BQ$144,$A$145:$H$145,0))*고양시_Modal_split!H$3 * 0.01</f>
        <v>2.6038039186348639E-6</v>
      </c>
      <c r="BW156" s="207">
        <f>INDEX($A$145:$H$158,MATCH($L156,$B$145:$B$158,0),MATCH($BQ$144,$A$145:$H$145,0))*고양시_Modal_split!I$3 * 0.01</f>
        <v>7.2385748938049214E-4</v>
      </c>
      <c r="BX156" s="207">
        <f>INDEX($A$145:$H$158,MATCH($L156,$B$145:$B$158,0),MATCH($BQ$144,$A$145:$H$145,0))*고양시_Modal_split!J$3 * 0.01</f>
        <v>7.925979128324526E-3</v>
      </c>
      <c r="BY156" s="207">
        <f>INDEX($A$145:$H$158,MATCH($L156,$B$145:$B$158,0),MATCH($BQ$144,$A$145:$H$145,0))*고양시_Modal_split!K$3 * 0.01</f>
        <v>3.9057058779522952E-5</v>
      </c>
      <c r="BZ156" s="207">
        <f>INDEX($A$145:$H$158,MATCH($L156,$B$145:$B$158,0),MATCH($BQ$144,$A$145:$H$145,0))*고양시_Modal_split!L$3 * 0.01</f>
        <v>7.8634878342772891E-4</v>
      </c>
      <c r="CA156" s="207">
        <f>INDEX($A$145:$H$158,MATCH($L156,$B$145:$B$158,0),MATCH($BQ$144,$A$145:$H$145,0))*고양시_Modal_split!M$3 * 0.01</f>
        <v>5.988749012860186E-5</v>
      </c>
      <c r="CB156" s="207">
        <f>INDEX($A$145:$H$158,MATCH($L156,$B$145:$B$158,0),MATCH($BQ$144,$A$145:$H$145,0))*고양시_Modal_split!N$3 * 0.01</f>
        <v>2.6038039186348641E-5</v>
      </c>
      <c r="CC156" s="207">
        <f>INDEX($A$145:$H$158,MATCH($L156,$B$145:$B$158,0),MATCH($BQ$144,$A$145:$H$145,0))*고양시_Modal_split!O$3 * 0.01</f>
        <v>4.6868470535427549E-5</v>
      </c>
      <c r="CD156" s="207">
        <f>INDEX($A$145:$H$158,MATCH($L156,$B$145:$B$158,0),MATCH($BQ$144,$A$145:$H$145,0))*고양시_Modal_split!P$3 * 0.01</f>
        <v>2.603803918634864E-2</v>
      </c>
      <c r="CE156" s="304">
        <f t="shared" si="84"/>
        <v>0.2560176418153457</v>
      </c>
      <c r="CF156" s="304">
        <f t="shared" si="64"/>
        <v>43.00182033777039</v>
      </c>
      <c r="CG156" s="304">
        <f t="shared" si="65"/>
        <v>5.2026442211761319</v>
      </c>
      <c r="CH156" s="304">
        <f t="shared" si="66"/>
        <v>8.3845777694525712</v>
      </c>
      <c r="CI156" s="304">
        <f t="shared" si="67"/>
        <v>0.84120082310756461</v>
      </c>
      <c r="CJ156" s="304">
        <f t="shared" si="68"/>
        <v>9.1434872076909188E-3</v>
      </c>
      <c r="CK156" s="304">
        <f t="shared" si="69"/>
        <v>2.5418894437380755</v>
      </c>
      <c r="CL156" s="304">
        <f t="shared" si="70"/>
        <v>27.832775060211159</v>
      </c>
      <c r="CM156" s="304">
        <f t="shared" si="71"/>
        <v>0.13715230811536377</v>
      </c>
      <c r="CN156" s="304">
        <f t="shared" si="72"/>
        <v>2.7613331367226568</v>
      </c>
      <c r="CO156" s="304">
        <f t="shared" si="73"/>
        <v>0.21030020577689115</v>
      </c>
      <c r="CP156" s="304">
        <f t="shared" si="74"/>
        <v>9.1434872076909202E-2</v>
      </c>
      <c r="CQ156" s="304">
        <f t="shared" si="75"/>
        <v>0.16458276973843652</v>
      </c>
      <c r="CR156" s="304">
        <f t="shared" si="76"/>
        <v>91.434872076909173</v>
      </c>
      <c r="CS156" s="305">
        <f t="shared" si="85"/>
        <v>0</v>
      </c>
      <c r="CV156" s="267"/>
      <c r="CW156" s="267" t="s">
        <v>305</v>
      </c>
      <c r="CX156" s="267">
        <f>INDEX($M$144:$Z$158,MATCH($CW156,$L$144:$L$158,0),MATCH(CX$145,$M$145:$Z$145,0))/INDEX(고양시_재차인원!$D$4:$H$35,MATCH("고양시",고양시_재차인원!$B$4:$B$35,0),MATCH($CX$144,고양시_재차인원!$D$4:$H$4,0))</f>
        <v>4.4358467832435018</v>
      </c>
      <c r="CY156" s="267">
        <f>INDEX($M$144:$Z$158,MATCH($CW156,$L$144:$L$158,0),MATCH(CY$145,$M$145:$Z$145,0))/INDEX(고양시_재차인원!$K$4:$O$20,MATCH("경기도",고양시_재차인원!$K$4:$K$20,0),MATCH(CY$145,고양시_재차인원!$K$4:$O$4,0))</f>
        <v>3.6692551798673235E-5</v>
      </c>
      <c r="CZ156" s="267">
        <f>INDEX($M$144:$Z$158,MATCH($CW156,$L$144:$L$158,0),MATCH(CZ$145,$M$145:$Z$145,0))/INDEX(고양시_재차인원!$K$4:$O$20,MATCH("경기도",고양시_재차인원!$K$4:$K$20,0),MATCH(CZ$145,고양시_재차인원!$K$4:$O$4,0))</f>
        <v>1.0200529400031157E-2</v>
      </c>
      <c r="DA156" s="267">
        <f>INDEX($M$144:$Z$158,MATCH($CW156,$L$144:$L$158,0),MATCH(DA$145,$M$145:$Z$145,0))/INDEX(고양시_재차인원!$D$4:$H$35,MATCH("고양시",고양시_재차인원!$B$4:$B$35,0),MATCH($CX$144,고양시_재차인원!$D$4:$H$4,0))</f>
        <v>0.28484493483723949</v>
      </c>
      <c r="DB156" s="267">
        <f>INDEX($AA$144:$AN$158,MATCH($CW156,$L$144:$L$158,0),MATCH(DB$145,$AA$145:$AN$145,0))/INDEX(고양시_재차인원!$D$4:$H$35,MATCH("고양시",고양시_재차인원!$B$4:$B$35,0),MATCH($DB$144,고양시_재차인원!$D$4:$H$4,0))</f>
        <v>25.500359108531292</v>
      </c>
      <c r="DC156" s="267">
        <f>INDEX($AA$144:$AN$158,MATCH($CW156,$L$144:$L$158,0),MATCH(DC$145,$AA$145:$AN$145,0))/INDEX(고양시_재차인원!$K$4:$O$20,MATCH("경기도",고양시_재차인원!$K$4:$K$20,0),MATCH(DC$145,고양시_재차인원!$K$4:$O$4,0))</f>
        <v>2.655515039917034E-4</v>
      </c>
      <c r="DD156" s="267">
        <f>INDEX($AA$144:$AN$158,MATCH($CW156,$L$144:$L$158,0),MATCH(DD$145,$AA$145:$AN$145,0))/INDEX(고양시_재차인원!$K$4:$O$20,MATCH("경기도",고양시_재차인원!$K$4:$K$20,0),MATCH(DD$145,고양시_재차인원!$K$4:$O$4,0))</f>
        <v>7.3823318109693545E-2</v>
      </c>
      <c r="DE156" s="267">
        <f>INDEX($AA$144:$AN$158,MATCH($CW156,$L$144:$L$158,0),MATCH(DE$145,$AA$145:$AN$145,0))/INDEX(고양시_재차인원!$D$4:$H$35,MATCH("고양시",고양시_재차인원!$B$4:$B$35,0),MATCH($DB$144,고양시_재차인원!$D$4:$H$4,0))</f>
        <v>1.6374885075008401</v>
      </c>
      <c r="DF156" s="267">
        <f>INDEX($AO$144:$BB$158,MATCH($CW156,$L$144:$L$158,0),MATCH(DF$145,$AO$145:$BB$145,0))/INDEX(고양시_재차인원!$D$4:$H$35,MATCH("고양시",고양시_재차인원!$B$4:$B$35,0),MATCH($DF$144,고양시_재차인원!$D$4:$H$4,0))</f>
        <v>1.5866756934983912</v>
      </c>
      <c r="DG156" s="267">
        <f>INDEX($AO$144:$BB$158,MATCH($CW156,$L$144:$L$158,0),MATCH(DG$145,$AO$145:$BB$145,0))/INDEX(고양시_재차인원!$K$4:$O$20,MATCH("경기도",고양시_재차인원!$K$4:$K$20,0),MATCH(DG$145,고양시_재차인원!$K$4:$O$4,0))</f>
        <v>1.5234032488835871E-5</v>
      </c>
      <c r="DH156" s="267">
        <f>INDEX($AO$144:$BB$158,MATCH($CW156,$L$144:$L$158,0),MATCH(DH$145,$AO$145:$BB$145,0))/INDEX(고양시_재차인원!$K$4:$O$20,MATCH("경기도",고양시_재차인원!$K$4:$K$20,0),MATCH(DH$145,고양시_재차인원!$K$4:$O$4,0))</f>
        <v>4.235061031896371E-3</v>
      </c>
      <c r="DI156" s="267">
        <f>INDEX($AO$144:$BB$158,MATCH($CW156,$L$144:$L$158,0),MATCH(DI$145,$AO$145:$BB$145,0))/INDEX(고양시_재차인원!$D$4:$H$35,MATCH("고양시",고양시_재차인원!$B$4:$B$35,0),MATCH($DF$144,고양시_재차인원!$D$4:$H$4,0))</f>
        <v>0.10188731861290966</v>
      </c>
      <c r="DJ156" s="267">
        <f>INDEX($BC$144:$BP$158,MATCH($CW156,$L$144:$L$158,0),MATCH(DJ$145,$BC$145:$BP$145,0))/INDEX(고양시_재차인원!$D$4:$H$35,MATCH("고양시",고양시_재차인원!$B$4:$B$35,0),MATCH($DJ$144,고양시_재차인원!$D$4:$H$4,0))</f>
        <v>2.3834603906586838E-3</v>
      </c>
      <c r="DK156" s="267">
        <f>INDEX($BC$144:$BP$158,MATCH($CW156,$L$144:$L$158,0),MATCH(DK$145,$BC$145:$BP$145,0))/INDEX(고양시_재차인원!$K$4:$O$20,MATCH("경기도",고양시_재차인원!$K$4:$K$20,0),MATCH(DK$145,고양시_재차인원!$K$4:$O$4,0))</f>
        <v>2.3940333926928978E-8</v>
      </c>
      <c r="DL156" s="267">
        <f>INDEX($BC$144:$BP$158,MATCH($CW156,$L$144:$L$158,0),MATCH(DL$145,$BC$145:$BP$145,0))/INDEX(고양시_재차인원!$K$4:$O$20,MATCH("경기도",고양시_재차인원!$K$4:$K$20,0),MATCH(DL$145,고양시_재차인원!$K$4:$O$4,0))</f>
        <v>6.6554128316862571E-6</v>
      </c>
      <c r="DM156" s="267">
        <f>INDEX($BC$144:$BP$158,MATCH($CW156,$L$144:$L$158,0),MATCH(DM$145,$BC$145:$BP$145,0))/INDEX(고양시_재차인원!$D$4:$H$35,MATCH("고양시",고양시_재차인원!$B$4:$B$35,0),MATCH($DJ$144,고양시_재차인원!$D$4:$H$4,0))</f>
        <v>1.5305231511352803E-4</v>
      </c>
      <c r="DN156" s="267">
        <f>INDEX($BQ$144:$CD$158,MATCH($CW156,$L$144:$L$158,0),MATCH(DN$145,$BQ$145:$CD$145,0))/INDEX(고양시_재차인원!$D$4:$H$35,MATCH("고양시",고양시_재차인원!$B$4:$B$35,0),MATCH($DN$144,고양시_재차인원!$D$4:$H$4,0))</f>
        <v>9.7188014518569555E-3</v>
      </c>
      <c r="DO156" s="267">
        <f>INDEX($BQ$144:$CD$158,MATCH($CW156,$L$144:$L$158,0),MATCH(DO$145,$BQ$145:$CD$145,0))/INDEX(고양시_재차인원!$K$4:$O$20,MATCH("경기도",고양시_재차인원!$K$4:$K$20,0),MATCH(DO$145,고양시_재차인원!$K$4:$O$4,0))</f>
        <v>9.0441261501731988E-8</v>
      </c>
      <c r="DP156" s="267">
        <f>INDEX($BQ$144:$CD$158,MATCH($CW156,$L$144:$L$158,0),MATCH(DP$145,$BQ$145:$CD$145,0))/INDEX(고양시_재차인원!$K$4:$O$20,MATCH("경기도",고양시_재차인원!$K$4:$K$20,0),MATCH(DP$145,고양시_재차인원!$K$4:$O$4,0))</f>
        <v>2.5142670697481491E-5</v>
      </c>
      <c r="DQ156" s="267">
        <f>INDEX($BQ$144:$CD$158,MATCH($CW156,$L$144:$L$158,0),MATCH(DQ$145,$BQ$145:$CD$145,0))/INDEX(고양시_재차인원!$D$4:$H$35,MATCH("고양시",고양시_재차인원!$B$4:$B$35,0),MATCH($DN$144,고양시_재차인원!$D$4:$H$4,0))</f>
        <v>6.2408633605375312E-4</v>
      </c>
      <c r="DR156" s="270">
        <f t="shared" si="86"/>
        <v>31.534983847115701</v>
      </c>
      <c r="DS156" s="270">
        <f t="shared" si="77"/>
        <v>3.1759246987464115E-4</v>
      </c>
      <c r="DT156" s="270">
        <f t="shared" si="78"/>
        <v>8.8290706625150234E-2</v>
      </c>
      <c r="DU156" s="270">
        <f t="shared" si="79"/>
        <v>2.0249978996021563</v>
      </c>
      <c r="DW156" s="278"/>
      <c r="DX156" s="278" t="s">
        <v>305</v>
      </c>
      <c r="DY156" s="281">
        <f t="shared" si="87"/>
        <v>33.55998174671786</v>
      </c>
      <c r="DZ156" s="281">
        <f t="shared" si="88"/>
        <v>8.8608299095024878E-2</v>
      </c>
      <c r="EB156" s="278"/>
      <c r="EC156" s="278" t="s">
        <v>305</v>
      </c>
      <c r="ED156" s="281">
        <f t="shared" si="89"/>
        <v>33.55998174671786</v>
      </c>
      <c r="EE156" s="281">
        <f t="shared" si="80"/>
        <v>8.8608299095024878E-2</v>
      </c>
      <c r="EL156" s="306" t="s">
        <v>667</v>
      </c>
      <c r="EM156" s="306" t="s">
        <v>221</v>
      </c>
      <c r="EN156" s="306">
        <v>22244.514299999999</v>
      </c>
      <c r="EO156" s="306">
        <v>0.11978017675227419</v>
      </c>
      <c r="EP156" s="307">
        <v>849111</v>
      </c>
      <c r="EQ156" s="308">
        <f t="shared" si="90"/>
        <v>539.42273966497373</v>
      </c>
      <c r="ER156" s="308">
        <f t="shared" si="91"/>
        <v>1.424235919304881</v>
      </c>
      <c r="ET156" s="420" t="s">
        <v>667</v>
      </c>
      <c r="EU156" s="420" t="s">
        <v>221</v>
      </c>
      <c r="EV156" s="420">
        <v>22244.514299999999</v>
      </c>
      <c r="EW156" s="420">
        <v>0.11978017675227419</v>
      </c>
      <c r="EX156" s="421">
        <v>849111</v>
      </c>
      <c r="EY156" s="422">
        <f t="shared" si="92"/>
        <v>524.04919158452196</v>
      </c>
      <c r="EZ156" s="422">
        <f t="shared" si="81"/>
        <v>1.383645195604692</v>
      </c>
      <c r="FA156">
        <v>0</v>
      </c>
      <c r="FD156" s="306" t="s">
        <v>667</v>
      </c>
      <c r="FE156" s="306" t="s">
        <v>221</v>
      </c>
      <c r="FF156" s="306">
        <v>22244.514299999999</v>
      </c>
      <c r="FG156" s="306">
        <v>0.11978017675227419</v>
      </c>
      <c r="FH156" s="307">
        <v>849111</v>
      </c>
      <c r="FI156" s="308">
        <f t="shared" si="82"/>
        <v>524.04919158452196</v>
      </c>
      <c r="FJ156" s="308">
        <f t="shared" si="83"/>
        <v>1.383645195604692</v>
      </c>
      <c r="FL156" s="101"/>
      <c r="FM156" s="101"/>
      <c r="FN156" s="101"/>
      <c r="FO156" s="101"/>
      <c r="FP156" s="374"/>
      <c r="FQ156" s="404"/>
      <c r="FR156" s="404"/>
    </row>
    <row r="157" spans="1:174" ht="25">
      <c r="A157" s="205"/>
      <c r="B157" s="205" t="s">
        <v>47</v>
      </c>
      <c r="C157" s="400">
        <f>$AB72*KTDB_TripDistribution_2035!T$12 * (1+KTDB_발생량도착량_증가율!$C$7*2) * (1+KTDB_발생량도착량_증가율!$D$8*5)* (1+KTDB_발생량도착량_증가율!$E$8*5)</f>
        <v>915.2634872848505</v>
      </c>
      <c r="D157" s="400">
        <f>$AB72*KTDB_TripDistribution_2035!U$12 * (1+KTDB_발생량도착량_증가율!$C$7*2) * (1+KTDB_발생량도착량_증가율!$D$8*5)* (1+KTDB_발생량도착량_증가율!$E$8*5)</f>
        <v>6623.9491036426571</v>
      </c>
      <c r="E157" s="400">
        <f>$AB72*KTDB_TripDistribution_2035!V$12 * (1+KTDB_발생량도착량_증가율!$C$7*2) * (1+KTDB_발생량도착량_증가율!$D$8*5)* (1+KTDB_발생량도착량_증가율!$E$8*5)</f>
        <v>379.99956442513758</v>
      </c>
      <c r="F157" s="400">
        <f>$AB72*KTDB_TripDistribution_2035!W$12 * (1+KTDB_발생량도착량_증가율!$C$7*2) * (1+KTDB_발생량도착량_증가율!$D$8*5)* (1+KTDB_발생량도착량_증가율!$E$8*5)</f>
        <v>0.59717060936375488</v>
      </c>
      <c r="G157" s="400">
        <f>$AB72*KTDB_TripDistribution_2035!X$12 * (1+KTDB_발생량도착량_증가율!$C$7*2) * (1+KTDB_발생량도착량_증가율!$D$8*5)* (1+KTDB_발생량도착량_증가율!$E$8*5)</f>
        <v>2.2559778575964149</v>
      </c>
      <c r="H157" s="400">
        <f>$AB72*KTDB_TripDistribution_2035!Y$12 * (1+KTDB_발생량도착량_증가율!$C$7*2) * (1+KTDB_발생량도착량_증가율!$D$8*5)* (1+KTDB_발생량도착량_증가율!$E$8*5)</f>
        <v>7922.065303819606</v>
      </c>
      <c r="I157" s="56"/>
      <c r="J157" s="56"/>
      <c r="K157" s="206"/>
      <c r="L157" s="206" t="s">
        <v>47</v>
      </c>
      <c r="M157" s="206">
        <f>INDEX($A$145:$H$158,MATCH($L157,$B$145:$B$158,0),MATCH($M$144,$A$145:$H$145,0))*고양시_Modal_split!C$3 * 0.01</f>
        <v>2.5627377643975815</v>
      </c>
      <c r="N157" s="206">
        <f>INDEX($A$145:$H$158,MATCH($L157,$B$145:$B$158,0),MATCH($M$144,$A$145:$H$145,0))*고양시_Modal_split!D$3 * 0.01</f>
        <v>430.44841807006526</v>
      </c>
      <c r="O157" s="206">
        <f>INDEX($A$145:$H$158,MATCH($L157,$B$145:$B$158,0),MATCH($M$144,$A$145:$H$145,0))*고양시_Modal_split!E$3 * 0.01</f>
        <v>52.078492426507992</v>
      </c>
      <c r="P157" s="206">
        <f>INDEX($A$145:$H$158,MATCH($L157,$B$145:$B$158,0),MATCH($M$144,$A$145:$H$145,0))*고양시_Modal_split!F$3 * 0.01</f>
        <v>83.929661784020794</v>
      </c>
      <c r="Q157" s="206">
        <f>INDEX($A$145:$H$158,MATCH($L157,$B$145:$B$158,0),MATCH($M$144,$A$145:$H$145,0))*고양시_Modal_split!G$3 * 0.01</f>
        <v>8.4204240830206238</v>
      </c>
      <c r="R157" s="206">
        <f>INDEX($A$145:$H$158,MATCH($L157,$B$145:$B$158,0),MATCH($M$144,$A$145:$H$145,0))*고양시_Modal_split!H$3 * 0.01</f>
        <v>9.1526348728485057E-2</v>
      </c>
      <c r="S157" s="206">
        <f>INDEX($A$145:$H$158,MATCH($L157,$B$145:$B$158,0),MATCH($M$144,$A$145:$H$145,0))*고양시_Modal_split!I$3 * 0.01</f>
        <v>25.44432494651884</v>
      </c>
      <c r="T157" s="206">
        <f>INDEX($A$145:$H$158,MATCH($L157,$B$145:$B$158,0),MATCH($M$144,$A$145:$H$145,0))*고양시_Modal_split!J$3 * 0.01</f>
        <v>278.60620552950854</v>
      </c>
      <c r="U157" s="206">
        <f>INDEX($A$145:$H$158,MATCH($L157,$B$145:$B$158,0),MATCH($M$144,$A$145:$H$145,0))*고양시_Modal_split!K$3 * 0.01</f>
        <v>1.3728952309272757</v>
      </c>
      <c r="V157" s="206">
        <f>INDEX($A$145:$H$158,MATCH($L157,$B$145:$B$158,0),MATCH($M$144,$A$145:$H$145,0))*고양시_Modal_split!L$3 * 0.01</f>
        <v>27.640957316002488</v>
      </c>
      <c r="W157" s="206">
        <f>INDEX($A$145:$H$158,MATCH($L157,$B$145:$B$158,0),MATCH($M$144,$A$145:$H$145,0))*고양시_Modal_split!M$3 * 0.01</f>
        <v>2.105106020755156</v>
      </c>
      <c r="X157" s="206">
        <f>INDEX($A$145:$H$158,MATCH($L157,$B$145:$B$158,0),MATCH($M$144,$A$145:$H$145,0))*고양시_Modal_split!N$3 * 0.01</f>
        <v>0.91526348728485063</v>
      </c>
      <c r="Y157" s="206">
        <f>INDEX($A$145:$H$158,MATCH($L157,$B$145:$B$158,0),MATCH($M$144,$A$145:$H$145,0))*고양시_Modal_split!O$3 * 0.01</f>
        <v>1.6474742771127309</v>
      </c>
      <c r="Z157" s="209">
        <f>INDEX($A$145:$H$158,MATCH($L157,$B$145:$B$158,0),MATCH($M$144,$A$145:$H$145,0))*고양시_Modal_split!P$3 * 0.01</f>
        <v>915.26348728485061</v>
      </c>
      <c r="AA157" s="207">
        <f>INDEX($A$145:$H$158,MATCH($L157,$B$145:$B$158,0),MATCH($AA$144,$A$145:$H$145,0))*고양시_Modal_split!C$3 * 0.01</f>
        <v>18.547057490199439</v>
      </c>
      <c r="AB157" s="207">
        <f>INDEX($A$145:$H$158,MATCH($L157,$B$145:$B$158,0),MATCH($AA$144,$A$145:$H$145,0))*고양시_Modal_split!D$3 * 0.01</f>
        <v>3115.2432634431416</v>
      </c>
      <c r="AC157" s="207">
        <f>INDEX($A$145:$H$158,MATCH($L157,$B$145:$B$158,0),MATCH($AA$144,$A$145:$H$145,0))*고양시_Modal_split!E$3 * 0.01</f>
        <v>376.90270399726717</v>
      </c>
      <c r="AD157" s="207">
        <f>INDEX($A$145:$H$158,MATCH($L157,$B$145:$B$158,0),MATCH($AA$144,$A$145:$H$145,0))*고양시_Modal_split!F$3 * 0.01</f>
        <v>607.41613280403169</v>
      </c>
      <c r="AE157" s="207">
        <f>INDEX($A$145:$H$158,MATCH($L157,$B$145:$B$158,0),MATCH($AA$144,$A$145:$H$145,0))*고양시_Modal_split!G$3 * 0.01</f>
        <v>60.940331753512439</v>
      </c>
      <c r="AF157" s="207">
        <f>INDEX($A$145:$H$158,MATCH($L157,$B$145:$B$158,0),MATCH($AA$144,$A$145:$H$145,0))*고양시_Modal_split!H$3 * 0.01</f>
        <v>0.66239491036426568</v>
      </c>
      <c r="AG157" s="207">
        <f>INDEX($A$145:$H$158,MATCH($L157,$B$145:$B$158,0),MATCH($AA$144,$A$145:$H$145,0))*고양시_Modal_split!I$3 * 0.01</f>
        <v>184.14578508126587</v>
      </c>
      <c r="AH157" s="207">
        <f>INDEX($A$145:$H$158,MATCH($L157,$B$145:$B$158,0),MATCH($AA$144,$A$145:$H$145,0))*고양시_Modal_split!J$3 * 0.01</f>
        <v>2016.3301071488249</v>
      </c>
      <c r="AI157" s="207">
        <f>INDEX($A$145:$H$158,MATCH($L157,$B$145:$B$158,0),MATCH($AA$144,$A$145:$H$145,0))*고양시_Modal_split!K$3 * 0.01</f>
        <v>9.9359236554639843</v>
      </c>
      <c r="AJ157" s="207">
        <f>INDEX($A$145:$H$158,MATCH($L157,$B$145:$B$158,0),MATCH($AA$144,$A$145:$H$145,0))*고양시_Modal_split!L$3 * 0.01</f>
        <v>200.04326293000824</v>
      </c>
      <c r="AK157" s="207">
        <f>INDEX($A$145:$H$158,MATCH($L157,$B$145:$B$158,0),MATCH($AA$144,$A$145:$H$145,0))*고양시_Modal_split!M$3 * 0.01</f>
        <v>15.23508293837811</v>
      </c>
      <c r="AL157" s="207">
        <f>INDEX($A$145:$H$158,MATCH($L157,$B$145:$B$158,0),MATCH($AA$144,$A$145:$H$145,0))*고양시_Modal_split!N$3 * 0.01</f>
        <v>6.6239491036426585</v>
      </c>
      <c r="AM157" s="207">
        <f>INDEX($A$145:$H$158,MATCH($L157,$B$145:$B$158,0),MATCH($AA$144,$A$145:$H$145,0))*고양시_Modal_split!O$3 * 0.01</f>
        <v>11.923108386556782</v>
      </c>
      <c r="AN157" s="207">
        <f>INDEX($A$145:$H$158,MATCH($L157,$B$145:$B$158,0),MATCH($AA$144,$A$145:$H$145,0))*고양시_Modal_split!P$3 * 0.01</f>
        <v>6623.9491036426571</v>
      </c>
      <c r="AO157" s="303">
        <f>INDEX($A$145:$H$158,MATCH($L157,$B$145:$B$158,0),MATCH($AO$144,$A$145:$H$145,0))*고양시_Modal_split!C$3 * 0.01</f>
        <v>1.0639987803903852</v>
      </c>
      <c r="AP157" s="303">
        <f>INDEX($A$145:$H$158,MATCH($L157,$B$145:$B$158,0),MATCH($AO$144,$A$145:$H$145,0))*고양시_Modal_split!D$3 * 0.01</f>
        <v>178.71379514914221</v>
      </c>
      <c r="AQ157" s="303">
        <f>INDEX($A$145:$H$158,MATCH($L157,$B$145:$B$158,0),MATCH($AO$144,$A$145:$H$145,0))*고양시_Modal_split!E$3 * 0.01</f>
        <v>21.621975215790325</v>
      </c>
      <c r="AR157" s="303">
        <f>INDEX($A$145:$H$158,MATCH($L157,$B$145:$B$158,0),MATCH($AO$144,$A$145:$H$145,0))*고양시_Modal_split!F$3 * 0.01</f>
        <v>34.845960057785113</v>
      </c>
      <c r="AS157" s="303">
        <f>INDEX($A$145:$H$158,MATCH($L157,$B$145:$B$158,0),MATCH($AO$144,$A$145:$H$145,0))*고양시_Modal_split!G$3 * 0.01</f>
        <v>3.4959959927112654</v>
      </c>
      <c r="AT157" s="303">
        <f>INDEX($A$145:$H$158,MATCH($L157,$B$145:$B$158,0),MATCH($AO$144,$A$145:$H$145,0))*고양시_Modal_split!H$3 * 0.01</f>
        <v>3.7999956442513756E-2</v>
      </c>
      <c r="AU157" s="303">
        <f>INDEX($A$145:$H$158,MATCH($L157,$B$145:$B$158,0),MATCH($AO$144,$A$145:$H$145,0))*고양시_Modal_split!I$3 * 0.01</f>
        <v>10.563987891018824</v>
      </c>
      <c r="AV157" s="303">
        <f>INDEX($A$145:$H$158,MATCH($L157,$B$145:$B$158,0),MATCH($AO$144,$A$145:$H$145,0))*고양시_Modal_split!J$3 * 0.01</f>
        <v>115.67186741101189</v>
      </c>
      <c r="AW157" s="303">
        <f>INDEX($A$145:$H$158,MATCH($L157,$B$145:$B$158,0),MATCH($AO$144,$A$145:$H$145,0))*고양시_Modal_split!K$3 * 0.01</f>
        <v>0.56999934663770635</v>
      </c>
      <c r="AX157" s="303">
        <f>INDEX($A$145:$H$158,MATCH($L157,$B$145:$B$158,0),MATCH($AO$144,$A$145:$H$145,0))*고양시_Modal_split!L$3 * 0.01</f>
        <v>11.475986845639154</v>
      </c>
      <c r="AY157" s="303">
        <f>INDEX($A$145:$H$158,MATCH($L157,$B$145:$B$158,0),MATCH($AO$144,$A$145:$H$145,0))*고양시_Modal_split!M$3 * 0.01</f>
        <v>0.87399899817781634</v>
      </c>
      <c r="AZ157" s="303">
        <f>INDEX($A$145:$H$158,MATCH($L157,$B$145:$B$158,0),MATCH($AO$144,$A$145:$H$145,0))*고양시_Modal_split!N$3 * 0.01</f>
        <v>0.37999956442513755</v>
      </c>
      <c r="BA157" s="207">
        <f>INDEX($A$145:$H$158,MATCH($L157,$B$145:$B$158,0),MATCH($AO$144,$A$145:$H$145,0))*고양시_Modal_split!O$3 * 0.01</f>
        <v>0.6839992159652476</v>
      </c>
      <c r="BB157" s="207">
        <f>INDEX($A$145:$H$158,MATCH($L157,$B$145:$B$158,0),MATCH($AO$144,$A$145:$H$145,0))*고양시_Modal_split!P$3 * 0.01</f>
        <v>379.99956442513758</v>
      </c>
      <c r="BC157" s="207">
        <f>INDEX($A$145:$H$158,MATCH($L157,$B$145:$B$158,0),MATCH($BC$144,$A$145:$H$145,0))*고양시_Modal_split!C$3 * 0.01</f>
        <v>1.6720777062185135E-3</v>
      </c>
      <c r="BD157" s="207">
        <f>INDEX($A$145:$H$158,MATCH($L157,$B$145:$B$158,0),MATCH($BC$144,$A$145:$H$145,0))*고양시_Modal_split!D$3 * 0.01</f>
        <v>0.28084933758377395</v>
      </c>
      <c r="BE157" s="207">
        <f>INDEX($A$145:$H$158,MATCH($L157,$B$145:$B$158,0),MATCH($BC$144,$A$145:$H$145,0))*고양시_Modal_split!E$3 * 0.01</f>
        <v>3.3979007672797649E-2</v>
      </c>
      <c r="BF157" s="207">
        <f>INDEX($A$145:$H$158,MATCH($L157,$B$145:$B$158,0),MATCH($BC$144,$A$145:$H$145,0))*고양시_Modal_split!F$3 * 0.01</f>
        <v>5.4760544878656323E-2</v>
      </c>
      <c r="BG157" s="207">
        <f>INDEX($A$145:$H$158,MATCH($L157,$B$145:$B$158,0),MATCH($BC$144,$A$145:$H$145,0))*고양시_Modal_split!G$3 * 0.01</f>
        <v>5.4939696061465449E-3</v>
      </c>
      <c r="BH157" s="207">
        <f>INDEX($A$145:$H$158,MATCH($L157,$B$145:$B$158,0),MATCH($BC$144,$A$145:$H$145,0))*고양시_Modal_split!H$3 * 0.01</f>
        <v>5.9717060936375497E-5</v>
      </c>
      <c r="BI157" s="207">
        <f>INDEX($A$145:$H$158,MATCH($L157,$B$145:$B$158,0),MATCH($BC$144,$A$145:$H$145,0))*고양시_Modal_split!I$3 * 0.01</f>
        <v>1.6601342940312385E-2</v>
      </c>
      <c r="BJ157" s="207">
        <f>INDEX($A$145:$H$158,MATCH($L157,$B$145:$B$158,0),MATCH($BC$144,$A$145:$H$145,0))*고양시_Modal_split!J$3 * 0.01</f>
        <v>0.18177873349032697</v>
      </c>
      <c r="BK157" s="207">
        <f>INDEX($A$145:$H$158,MATCH($L157,$B$145:$B$158,0),MATCH($BC$144,$A$145:$H$145,0))*고양시_Modal_split!K$3 * 0.01</f>
        <v>8.9575591404563229E-4</v>
      </c>
      <c r="BL157" s="207">
        <f>INDEX($A$145:$H$158,MATCH($L157,$B$145:$B$158,0),MATCH($BC$144,$A$145:$H$145,0))*고양시_Modal_split!L$3 * 0.01</f>
        <v>1.8034552402785398E-2</v>
      </c>
      <c r="BM157" s="207">
        <f>INDEX($A$145:$H$158,MATCH($L157,$B$145:$B$158,0),MATCH($BC$144,$A$145:$H$145,0))*고양시_Modal_split!M$3 * 0.01</f>
        <v>1.3734924015366362E-3</v>
      </c>
      <c r="BN157" s="207">
        <f>INDEX($A$145:$H$158,MATCH($L157,$B$145:$B$158,0),MATCH($BC$144,$A$145:$H$145,0))*고양시_Modal_split!N$3 * 0.01</f>
        <v>5.9717060936375493E-4</v>
      </c>
      <c r="BO157" s="207">
        <f>INDEX($A$145:$H$158,MATCH($L157,$B$145:$B$158,0),MATCH($BC$144,$A$145:$H$145,0))*고양시_Modal_split!O$3 * 0.01</f>
        <v>1.0749070968547588E-3</v>
      </c>
      <c r="BP157" s="207">
        <f>INDEX($A$145:$H$158,MATCH($L157,$B$145:$B$158,0),MATCH($BC$144,$A$145:$H$145,0))*고양시_Modal_split!P$3 * 0.01</f>
        <v>0.59717060936375488</v>
      </c>
      <c r="BQ157" s="207">
        <f>INDEX($A$145:$H$158,MATCH($L157,$B$145:$B$158,0),MATCH($BQ$144,$A$145:$H$145,0))*고양시_Modal_split!C$3 * 0.01</f>
        <v>6.3167380012699613E-3</v>
      </c>
      <c r="BR157" s="207">
        <f>INDEX($A$145:$H$158,MATCH($L157,$B$145:$B$158,0),MATCH($BQ$144,$A$145:$H$145,0))*고양시_Modal_split!D$3 * 0.01</f>
        <v>1.0609863864275939</v>
      </c>
      <c r="BS157" s="207">
        <f>INDEX($A$145:$H$158,MATCH($L157,$B$145:$B$158,0),MATCH($BQ$144,$A$145:$H$145,0))*고양시_Modal_split!E$3 * 0.01</f>
        <v>0.12836514009723599</v>
      </c>
      <c r="BT157" s="207">
        <f>INDEX($A$145:$H$158,MATCH($L157,$B$145:$B$158,0),MATCH($BQ$144,$A$145:$H$145,0))*고양시_Modal_split!F$3 * 0.01</f>
        <v>0.20687316954159127</v>
      </c>
      <c r="BU157" s="207">
        <f>INDEX($A$145:$H$158,MATCH($L157,$B$145:$B$158,0),MATCH($BQ$144,$A$145:$H$145,0))*고양시_Modal_split!G$3 * 0.01</f>
        <v>2.0754996289887015E-2</v>
      </c>
      <c r="BV157" s="207">
        <f>INDEX($A$145:$H$158,MATCH($L157,$B$145:$B$158,0),MATCH($BQ$144,$A$145:$H$145,0))*고양시_Modal_split!H$3 * 0.01</f>
        <v>2.255977857596415E-4</v>
      </c>
      <c r="BW157" s="207">
        <f>INDEX($A$145:$H$158,MATCH($L157,$B$145:$B$158,0),MATCH($BQ$144,$A$145:$H$145,0))*고양시_Modal_split!I$3 * 0.01</f>
        <v>6.2716184441180337E-2</v>
      </c>
      <c r="BX157" s="207">
        <f>INDEX($A$145:$H$158,MATCH($L157,$B$145:$B$158,0),MATCH($BQ$144,$A$145:$H$145,0))*고양시_Modal_split!J$3 * 0.01</f>
        <v>0.68671965985234873</v>
      </c>
      <c r="BY157" s="207">
        <f>INDEX($A$145:$H$158,MATCH($L157,$B$145:$B$158,0),MATCH($BQ$144,$A$145:$H$145,0))*고양시_Modal_split!K$3 * 0.01</f>
        <v>3.3839667863946221E-3</v>
      </c>
      <c r="BZ157" s="207">
        <f>INDEX($A$145:$H$158,MATCH($L157,$B$145:$B$158,0),MATCH($BQ$144,$A$145:$H$145,0))*고양시_Modal_split!L$3 * 0.01</f>
        <v>6.813053129941174E-2</v>
      </c>
      <c r="CA157" s="207">
        <f>INDEX($A$145:$H$158,MATCH($L157,$B$145:$B$158,0),MATCH($BQ$144,$A$145:$H$145,0))*고양시_Modal_split!M$3 * 0.01</f>
        <v>5.1887490724717537E-3</v>
      </c>
      <c r="CB157" s="207">
        <f>INDEX($A$145:$H$158,MATCH($L157,$B$145:$B$158,0),MATCH($BQ$144,$A$145:$H$145,0))*고양시_Modal_split!N$3 * 0.01</f>
        <v>2.255977857596415E-3</v>
      </c>
      <c r="CC157" s="207">
        <f>INDEX($A$145:$H$158,MATCH($L157,$B$145:$B$158,0),MATCH($BQ$144,$A$145:$H$145,0))*고양시_Modal_split!O$3 * 0.01</f>
        <v>4.0607601436735471E-3</v>
      </c>
      <c r="CD157" s="207">
        <f>INDEX($A$145:$H$158,MATCH($L157,$B$145:$B$158,0),MATCH($BQ$144,$A$145:$H$145,0))*고양시_Modal_split!P$3 * 0.01</f>
        <v>2.2559778575964149</v>
      </c>
      <c r="CE157" s="304">
        <f t="shared" si="84"/>
        <v>22.181782850694894</v>
      </c>
      <c r="CF157" s="304">
        <f t="shared" si="64"/>
        <v>3725.7473123863601</v>
      </c>
      <c r="CG157" s="304">
        <f t="shared" si="65"/>
        <v>450.76551578733546</v>
      </c>
      <c r="CH157" s="304">
        <f t="shared" si="66"/>
        <v>726.4533883602578</v>
      </c>
      <c r="CI157" s="304">
        <f t="shared" si="67"/>
        <v>72.883000795140362</v>
      </c>
      <c r="CJ157" s="304">
        <f t="shared" si="68"/>
        <v>0.79220653038196043</v>
      </c>
      <c r="CK157" s="304">
        <f t="shared" si="69"/>
        <v>220.23341544618501</v>
      </c>
      <c r="CL157" s="304">
        <f t="shared" si="70"/>
        <v>2411.4766784826884</v>
      </c>
      <c r="CM157" s="304">
        <f t="shared" si="71"/>
        <v>11.883097955729406</v>
      </c>
      <c r="CN157" s="304">
        <f t="shared" si="72"/>
        <v>239.24637217535206</v>
      </c>
      <c r="CO157" s="304">
        <f t="shared" si="73"/>
        <v>18.22075019878509</v>
      </c>
      <c r="CP157" s="304">
        <f t="shared" si="74"/>
        <v>7.9220653038196067</v>
      </c>
      <c r="CQ157" s="304">
        <f t="shared" si="75"/>
        <v>14.259717546875288</v>
      </c>
      <c r="CR157" s="304">
        <f t="shared" si="76"/>
        <v>7922.0653038196051</v>
      </c>
      <c r="CS157" s="305">
        <f t="shared" si="85"/>
        <v>0</v>
      </c>
      <c r="CV157" s="267"/>
      <c r="CW157" s="267" t="s">
        <v>47</v>
      </c>
      <c r="CX157" s="267">
        <f>INDEX($M$144:$Z$158,MATCH($CW157,$L$144:$L$158,0),MATCH(CX$145,$M$145:$Z$145,0))/INDEX(고양시_재차인원!$D$4:$H$35,MATCH("고양시",고양시_재차인원!$B$4:$B$35,0),MATCH($CX$144,고양시_재차인원!$D$4:$H$4,0))</f>
        <v>384.32894470541538</v>
      </c>
      <c r="CY157" s="267">
        <f>INDEX($M$144:$Z$158,MATCH($CW157,$L$144:$L$158,0),MATCH(CY$145,$M$145:$Z$145,0))/INDEX(고양시_재차인원!$K$4:$O$20,MATCH("경기도",고양시_재차인원!$K$4:$K$20,0),MATCH(CY$145,고양시_재차인원!$K$4:$O$4,0))</f>
        <v>3.1791020746260875E-3</v>
      </c>
      <c r="CZ157" s="267">
        <f>INDEX($M$144:$Z$158,MATCH($CW157,$L$144:$L$158,0),MATCH(CZ$145,$M$145:$Z$145,0))/INDEX(고양시_재차인원!$K$4:$O$20,MATCH("경기도",고양시_재차인원!$K$4:$K$20,0),MATCH(CZ$145,고양시_재차인원!$K$4:$O$4,0))</f>
        <v>0.8837903767460521</v>
      </c>
      <c r="DA157" s="267">
        <f>INDEX($M$144:$Z$158,MATCH($CW157,$L$144:$L$158,0),MATCH(DA$145,$M$145:$Z$145,0))/INDEX(고양시_재차인원!$D$4:$H$35,MATCH("고양시",고양시_재차인원!$B$4:$B$35,0),MATCH($CX$144,고양시_재차인원!$D$4:$H$4,0))</f>
        <v>24.67942617500222</v>
      </c>
      <c r="DB157" s="267">
        <f>INDEX($AA$144:$AN$158,MATCH($CW157,$L$144:$L$158,0),MATCH(DB$145,$AA$145:$AN$145,0))/INDEX(고양시_재차인원!$D$4:$H$35,MATCH("고양시",고양시_재차인원!$B$4:$B$35,0),MATCH($DB$144,고양시_재차인원!$D$4:$H$4,0))</f>
        <v>2209.3923854206678</v>
      </c>
      <c r="DC157" s="267">
        <f>INDEX($AA$144:$AN$158,MATCH($CW157,$L$144:$L$158,0),MATCH(DC$145,$AA$145:$AN$145,0))/INDEX(고양시_재차인원!$K$4:$O$20,MATCH("경기도",고양시_재차인원!$K$4:$K$20,0),MATCH(DC$145,고양시_재차인원!$K$4:$O$4,0))</f>
        <v>2.3007812100182899E-2</v>
      </c>
      <c r="DD157" s="267">
        <f>INDEX($AA$144:$AN$158,MATCH($CW157,$L$144:$L$158,0),MATCH(DD$145,$AA$145:$AN$145,0))/INDEX(고양시_재차인원!$K$4:$O$20,MATCH("경기도",고양시_재차인원!$K$4:$K$20,0),MATCH(DD$145,고양시_재차인원!$K$4:$O$4,0))</f>
        <v>6.3961717638508464</v>
      </c>
      <c r="DE157" s="267">
        <f>INDEX($AA$144:$AN$158,MATCH($CW157,$L$144:$L$158,0),MATCH(DE$145,$AA$145:$AN$145,0))/INDEX(고양시_재차인원!$D$4:$H$35,MATCH("고양시",고양시_재차인원!$B$4:$B$35,0),MATCH($DB$144,고양시_재차인원!$D$4:$H$4,0))</f>
        <v>141.87465456028954</v>
      </c>
      <c r="DF157" s="267">
        <f>INDEX($AO$144:$BB$158,MATCH($CW157,$L$144:$L$158,0),MATCH(DF$145,$AO$145:$BB$145,0))/INDEX(고양시_재차인원!$D$4:$H$35,MATCH("고양시",고양시_재차인원!$B$4:$B$35,0),MATCH($DF$144,고양시_재차인원!$D$4:$H$4,0))</f>
        <v>137.47215011472477</v>
      </c>
      <c r="DG157" s="267">
        <f>INDEX($AO$144:$BB$158,MATCH($CW157,$L$144:$L$158,0),MATCH(DG$145,$AO$145:$BB$145,0))/INDEX(고양시_재차인원!$K$4:$O$20,MATCH("경기도",고양시_재차인원!$K$4:$K$20,0),MATCH(DG$145,고양시_재차인원!$K$4:$O$4,0))</f>
        <v>1.3199012310702938E-3</v>
      </c>
      <c r="DH157" s="267">
        <f>INDEX($AO$144:$BB$158,MATCH($CW157,$L$144:$L$158,0),MATCH(DH$145,$AO$145:$BB$145,0))/INDEX(고양시_재차인원!$K$4:$O$20,MATCH("경기도",고양시_재차인원!$K$4:$K$20,0),MATCH(DH$145,고양시_재차인원!$K$4:$O$4,0))</f>
        <v>0.36693254223754168</v>
      </c>
      <c r="DI157" s="267">
        <f>INDEX($AO$144:$BB$158,MATCH($CW157,$L$144:$L$158,0),MATCH(DI$145,$AO$145:$BB$145,0))/INDEX(고양시_재차인원!$D$4:$H$35,MATCH("고양시",고양시_재차인원!$B$4:$B$35,0),MATCH($DF$144,고양시_재차인원!$D$4:$H$4,0))</f>
        <v>8.8276821889531956</v>
      </c>
      <c r="DJ157" s="267">
        <f>INDEX($BC$144:$BP$158,MATCH($CW157,$L$144:$L$158,0),MATCH(DJ$145,$BC$145:$BP$145,0))/INDEX(고양시_재차인원!$D$4:$H$35,MATCH("고양시",고양시_재차인원!$B$4:$B$35,0),MATCH($DJ$144,고양시_재차인원!$D$4:$H$4,0))</f>
        <v>0.206506865870422</v>
      </c>
      <c r="DK157" s="267">
        <f>INDEX($BC$144:$BP$158,MATCH($CW157,$L$144:$L$158,0),MATCH(DK$145,$BC$145:$BP$145,0))/INDEX(고양시_재차인원!$K$4:$O$20,MATCH("경기도",고양시_재차인원!$K$4:$K$20,0),MATCH(DK$145,고양시_재차인원!$K$4:$O$4,0))</f>
        <v>2.0742292787903958E-6</v>
      </c>
      <c r="DL157" s="267">
        <f>INDEX($BC$144:$BP$158,MATCH($CW157,$L$144:$L$158,0),MATCH(DL$145,$BC$145:$BP$145,0))/INDEX(고양시_재차인원!$K$4:$O$20,MATCH("경기도",고양시_재차인원!$K$4:$K$20,0),MATCH(DL$145,고양시_재차인원!$K$4:$O$4,0))</f>
        <v>5.7663573950372999E-4</v>
      </c>
      <c r="DM157" s="267">
        <f>INDEX($BC$144:$BP$158,MATCH($CW157,$L$144:$L$158,0),MATCH(DM$145,$BC$145:$BP$145,0))/INDEX(고양시_재차인원!$D$4:$H$35,MATCH("고양시",고양시_재차인원!$B$4:$B$35,0),MATCH($DJ$144,고양시_재차인원!$D$4:$H$4,0))</f>
        <v>1.3260700296165733E-2</v>
      </c>
      <c r="DN157" s="267">
        <f>INDEX($BQ$144:$CD$158,MATCH($CW157,$L$144:$L$158,0),MATCH(DN$145,$BQ$145:$CD$145,0))/INDEX(고양시_재차인원!$D$4:$H$35,MATCH("고양시",고양시_재차인원!$B$4:$B$35,0),MATCH($DN$144,고양시_재차인원!$D$4:$H$4,0))</f>
        <v>0.84205268764094754</v>
      </c>
      <c r="DO157" s="267">
        <f>INDEX($BQ$144:$CD$158,MATCH($CW157,$L$144:$L$158,0),MATCH(DO$145,$BQ$145:$CD$145,0))/INDEX(고양시_재차인원!$K$4:$O$20,MATCH("경기도",고양시_재차인원!$K$4:$K$20,0),MATCH(DO$145,고양시_재차인원!$K$4:$O$4,0))</f>
        <v>7.8359772754304095E-6</v>
      </c>
      <c r="DP157" s="267">
        <f>INDEX($BQ$144:$CD$158,MATCH($CW157,$L$144:$L$158,0),MATCH(DP$145,$BQ$145:$CD$145,0))/INDEX(고양시_재차인원!$K$4:$O$20,MATCH("경기도",고양시_재차인원!$K$4:$K$20,0),MATCH(DP$145,고양시_재차인원!$K$4:$O$4,0))</f>
        <v>2.178401682569654E-3</v>
      </c>
      <c r="DQ157" s="267">
        <f>INDEX($BQ$144:$CD$158,MATCH($CW157,$L$144:$L$158,0),MATCH(DQ$145,$BQ$145:$CD$145,0))/INDEX(고양시_재차인원!$D$4:$H$35,MATCH("고양시",고양시_재차인원!$B$4:$B$35,0),MATCH($DN$144,고양시_재차인원!$D$4:$H$4,0))</f>
        <v>5.4071850237628366E-2</v>
      </c>
      <c r="DR157" s="270">
        <f t="shared" si="86"/>
        <v>2732.2420397943192</v>
      </c>
      <c r="DS157" s="270">
        <f t="shared" si="77"/>
        <v>2.7516725612433502E-2</v>
      </c>
      <c r="DT157" s="270">
        <f t="shared" si="78"/>
        <v>7.6496497202565132</v>
      </c>
      <c r="DU157" s="270">
        <f t="shared" si="79"/>
        <v>175.44909547477874</v>
      </c>
      <c r="DW157" s="278"/>
      <c r="DX157" s="278" t="s">
        <v>47</v>
      </c>
      <c r="DY157" s="281">
        <f t="shared" si="87"/>
        <v>2907.6911352690981</v>
      </c>
      <c r="DZ157" s="281">
        <f t="shared" si="88"/>
        <v>7.6771664458689468</v>
      </c>
      <c r="EB157" s="278"/>
      <c r="EC157" s="278" t="s">
        <v>47</v>
      </c>
      <c r="ED157" s="281">
        <f t="shared" si="89"/>
        <v>2907.6911352690981</v>
      </c>
      <c r="EE157" s="281">
        <f t="shared" si="80"/>
        <v>7.6771664458689468</v>
      </c>
      <c r="EL157" s="306" t="s">
        <v>667</v>
      </c>
      <c r="EM157" s="306" t="s">
        <v>372</v>
      </c>
      <c r="EN157" s="306">
        <v>20007.53</v>
      </c>
      <c r="EO157" s="306">
        <v>0.10773467325274116</v>
      </c>
      <c r="EP157" s="307">
        <v>849112</v>
      </c>
      <c r="EQ157" s="308">
        <f t="shared" si="90"/>
        <v>485.17654739394118</v>
      </c>
      <c r="ER157" s="308">
        <f t="shared" si="91"/>
        <v>1.2810098929680827</v>
      </c>
      <c r="ET157" s="420" t="s">
        <v>667</v>
      </c>
      <c r="EU157" s="420" t="s">
        <v>372</v>
      </c>
      <c r="EV157" s="420">
        <v>20007.53</v>
      </c>
      <c r="EW157" s="420">
        <v>0.10773467325274116</v>
      </c>
      <c r="EX157" s="421">
        <v>849112</v>
      </c>
      <c r="EY157" s="422">
        <f t="shared" si="92"/>
        <v>471.34901579321388</v>
      </c>
      <c r="EZ157" s="422">
        <f t="shared" si="81"/>
        <v>1.2445011110184923</v>
      </c>
      <c r="FA157">
        <v>0</v>
      </c>
      <c r="FD157" s="306" t="s">
        <v>667</v>
      </c>
      <c r="FE157" s="306" t="s">
        <v>372</v>
      </c>
      <c r="FF157" s="306">
        <v>20007.53</v>
      </c>
      <c r="FG157" s="306">
        <v>0.10773467325274116</v>
      </c>
      <c r="FH157" s="307">
        <v>849112</v>
      </c>
      <c r="FI157" s="308">
        <f t="shared" si="82"/>
        <v>471.34901579321388</v>
      </c>
      <c r="FJ157" s="308">
        <f t="shared" si="83"/>
        <v>1.2445011110184923</v>
      </c>
      <c r="FL157" s="101"/>
      <c r="FM157" s="101"/>
      <c r="FN157" s="101"/>
      <c r="FO157" s="101"/>
      <c r="FP157" s="374"/>
      <c r="FQ157" s="404"/>
      <c r="FR157" s="404"/>
    </row>
    <row r="158" spans="1:174">
      <c r="A158" s="205"/>
      <c r="B158" s="205" t="s">
        <v>676</v>
      </c>
      <c r="C158" s="400">
        <f>$AB73*KTDB_TripDistribution_2035!T$12 * (1+KTDB_발생량도착량_증가율!$C$7*2) * (1+KTDB_발생량도착량_증가율!$D$8*5)* (1+KTDB_발생량도착량_증가율!$E$8*5)</f>
        <v>5864.3054768071561</v>
      </c>
      <c r="D158" s="400">
        <f>$AB73*KTDB_TripDistribution_2035!U$12 * (1+KTDB_발생량도착량_증가율!$C$7*2) * (1+KTDB_발생량도착량_증가율!$D$8*5)* (1+KTDB_발생량도착량_증가율!$E$8*5)</f>
        <v>42441.178465250072</v>
      </c>
      <c r="E158" s="400">
        <f>$AB73*KTDB_TripDistribution_2035!V$12 * (1+KTDB_발생량도착량_증가율!$C$7*2) * (1+KTDB_발생량도착량_증가율!$D$8*5)* (1+KTDB_발생량도착량_증가율!$E$8*5)</f>
        <v>2434.745357813154</v>
      </c>
      <c r="F158" s="400">
        <f>$AB73*KTDB_TripDistribution_2035!W$12 * (1+KTDB_발생량도착량_증가율!$C$7*2) * (1+KTDB_발생량도착량_증가율!$D$8*5)* (1+KTDB_발생량도착량_증가율!$E$8*5)</f>
        <v>3.8262106199263655</v>
      </c>
      <c r="G158" s="400">
        <f>$AB73*KTDB_TripDistribution_2035!X$12 * (1+KTDB_발생량도착량_증가율!$C$7*2) * (1+KTDB_발생량도착량_증가율!$D$8*5)* (1+KTDB_발생량도착량_증가율!$E$8*5)</f>
        <v>14.454573453055206</v>
      </c>
      <c r="H158" s="400">
        <f>$AB73*KTDB_TripDistribution_2035!Y$12 * (1+KTDB_발생량도착량_증가율!$C$7*2) * (1+KTDB_발생량도착량_증가율!$D$8*5)* (1+KTDB_발생량도착량_증가율!$E$8*5)</f>
        <v>50758.510083943373</v>
      </c>
      <c r="I158" t="b">
        <f>H158=$AB$73 * (1+KTDB_발생량도착량_증가율!$C$7*2)</f>
        <v>0</v>
      </c>
      <c r="J158" s="230">
        <f>CR158</f>
        <v>50758.510083943358</v>
      </c>
      <c r="K158" s="206"/>
      <c r="L158" s="206" t="s">
        <v>26</v>
      </c>
      <c r="M158" s="206">
        <f>INDEX($A$145:$H$158,MATCH($L158,$B$145:$B$158,0),MATCH($M$144,$A$145:$H$145,0))*고양시_Modal_split!C$3 * 0.01</f>
        <v>16.420055335060034</v>
      </c>
      <c r="N158" s="206">
        <f>INDEX($A$145:$H$158,MATCH($L158,$B$145:$B$158,0),MATCH($M$144,$A$145:$H$145,0))*고양시_Modal_split!D$3 * 0.01</f>
        <v>2757.9828657424055</v>
      </c>
      <c r="O158" s="206">
        <f>INDEX($A$145:$H$158,MATCH($L158,$B$145:$B$158,0),MATCH($M$144,$A$145:$H$145,0))*고양시_Modal_split!E$3 * 0.01</f>
        <v>333.6789816303272</v>
      </c>
      <c r="P158" s="206">
        <f>INDEX($A$145:$H$158,MATCH($L158,$B$145:$B$158,0),MATCH($M$144,$A$145:$H$145,0))*고양시_Modal_split!F$3 * 0.01</f>
        <v>537.75681222321623</v>
      </c>
      <c r="Q158" s="206">
        <f>INDEX($A$145:$H$158,MATCH($L158,$B$145:$B$158,0),MATCH($M$144,$A$145:$H$145,0))*고양시_Modal_split!G$3 * 0.01</f>
        <v>53.951610386625838</v>
      </c>
      <c r="R158" s="206">
        <f>INDEX($A$145:$H$158,MATCH($L158,$B$145:$B$158,0),MATCH($M$144,$A$145:$H$145,0))*고양시_Modal_split!H$3 * 0.01</f>
        <v>0.58643054768071567</v>
      </c>
      <c r="S158" s="206">
        <f>INDEX($A$145:$H$158,MATCH($L158,$B$145:$B$158,0),MATCH($M$144,$A$145:$H$145,0))*고양시_Modal_split!I$3 * 0.01</f>
        <v>163.02769225523892</v>
      </c>
      <c r="T158" s="206">
        <f>INDEX($A$145:$H$158,MATCH($L158,$B$145:$B$158,0),MATCH($M$144,$A$145:$H$145,0))*고양시_Modal_split!J$3 * 0.01</f>
        <v>1785.0945871400984</v>
      </c>
      <c r="U158" s="206">
        <f>INDEX($A$145:$H$158,MATCH($L158,$B$145:$B$158,0),MATCH($M$144,$A$145:$H$145,0))*고양시_Modal_split!K$3 * 0.01</f>
        <v>8.796458215210734</v>
      </c>
      <c r="V158" s="206">
        <f>INDEX($A$145:$H$158,MATCH($L158,$B$145:$B$158,0),MATCH($M$144,$A$145:$H$145,0))*고양시_Modal_split!L$3 * 0.01</f>
        <v>177.10202539957612</v>
      </c>
      <c r="W158" s="206">
        <f>INDEX($A$145:$H$158,MATCH($L158,$B$145:$B$158,0),MATCH($M$144,$A$145:$H$145,0))*고양시_Modal_split!M$3 * 0.01</f>
        <v>13.487902596656459</v>
      </c>
      <c r="X158" s="206">
        <f>INDEX($A$145:$H$158,MATCH($L158,$B$145:$B$158,0),MATCH($M$144,$A$145:$H$145,0))*고양시_Modal_split!N$3 * 0.01</f>
        <v>5.8643054768071572</v>
      </c>
      <c r="Y158" s="206">
        <f>INDEX($A$145:$H$158,MATCH($L158,$B$145:$B$158,0),MATCH($M$144,$A$145:$H$145,0))*고양시_Modal_split!O$3 * 0.01</f>
        <v>10.555749858252879</v>
      </c>
      <c r="Z158" s="209">
        <f>INDEX($A$145:$H$158,MATCH($L158,$B$145:$B$158,0),MATCH($M$144,$A$145:$H$145,0))*고양시_Modal_split!P$3 * 0.01</f>
        <v>5864.3054768071561</v>
      </c>
      <c r="AA158" s="207">
        <f>INDEX($A$145:$H$158,MATCH($L158,$B$145:$B$158,0),MATCH($AA$144,$A$145:$H$145,0))*고양시_Modal_split!C$3 * 0.01</f>
        <v>118.8352997027002</v>
      </c>
      <c r="AB158" s="207">
        <f>INDEX($A$145:$H$158,MATCH($L158,$B$145:$B$158,0),MATCH($AA$144,$A$145:$H$145,0))*고양시_Modal_split!D$3 * 0.01</f>
        <v>19960.086232207112</v>
      </c>
      <c r="AC158" s="207">
        <f>INDEX($A$145:$H$158,MATCH($L158,$B$145:$B$158,0),MATCH($AA$144,$A$145:$H$145,0))*고양시_Modal_split!E$3 * 0.01</f>
        <v>2414.903054672729</v>
      </c>
      <c r="AD158" s="207">
        <f>INDEX($A$145:$H$158,MATCH($L158,$B$145:$B$158,0),MATCH($AA$144,$A$145:$H$145,0))*고양시_Modal_split!F$3 * 0.01</f>
        <v>3891.8560652634314</v>
      </c>
      <c r="AE158" s="207">
        <f>INDEX($A$145:$H$158,MATCH($L158,$B$145:$B$158,0),MATCH($AA$144,$A$145:$H$145,0))*고양시_Modal_split!G$3 * 0.01</f>
        <v>390.45884188030061</v>
      </c>
      <c r="AF158" s="207">
        <f>INDEX($A$145:$H$158,MATCH($L158,$B$145:$B$158,0),MATCH($AA$144,$A$145:$H$145,0))*고양시_Modal_split!H$3 * 0.01</f>
        <v>4.2441178465250076</v>
      </c>
      <c r="AG158" s="207">
        <f>INDEX($A$145:$H$158,MATCH($L158,$B$145:$B$158,0),MATCH($AA$144,$A$145:$H$145,0))*고양시_Modal_split!I$3 * 0.01</f>
        <v>1179.8647613339519</v>
      </c>
      <c r="AH158" s="207">
        <f>INDEX($A$145:$H$158,MATCH($L158,$B$145:$B$158,0),MATCH($AA$144,$A$145:$H$145,0))*고양시_Modal_split!J$3 * 0.01</f>
        <v>12919.094724822124</v>
      </c>
      <c r="AI158" s="207">
        <f>INDEX($A$145:$H$158,MATCH($L158,$B$145:$B$158,0),MATCH($AA$144,$A$145:$H$145,0))*고양시_Modal_split!K$3 * 0.01</f>
        <v>63.661767697875106</v>
      </c>
      <c r="AJ158" s="207">
        <f>INDEX($A$145:$H$158,MATCH($L158,$B$145:$B$158,0),MATCH($AA$144,$A$145:$H$145,0))*고양시_Modal_split!L$3 * 0.01</f>
        <v>1281.7235896505522</v>
      </c>
      <c r="AK158" s="207">
        <f>INDEX($A$145:$H$158,MATCH($L158,$B$145:$B$158,0),MATCH($AA$144,$A$145:$H$145,0))*고양시_Modal_split!M$3 * 0.01</f>
        <v>97.614710470075153</v>
      </c>
      <c r="AL158" s="207">
        <f>INDEX($A$145:$H$158,MATCH($L158,$B$145:$B$158,0),MATCH($AA$144,$A$145:$H$145,0))*고양시_Modal_split!N$3 * 0.01</f>
        <v>42.441178465250076</v>
      </c>
      <c r="AM158" s="207">
        <f>INDEX($A$145:$H$158,MATCH($L158,$B$145:$B$158,0),MATCH($AA$144,$A$145:$H$145,0))*고양시_Modal_split!O$3 * 0.01</f>
        <v>76.394121237450122</v>
      </c>
      <c r="AN158" s="207">
        <f>INDEX($A$145:$H$158,MATCH($L158,$B$145:$B$158,0),MATCH($AA$144,$A$145:$H$145,0))*고양시_Modal_split!P$3 * 0.01</f>
        <v>42441.178465250072</v>
      </c>
      <c r="AO158" s="303">
        <f>INDEX($A$145:$H$158,MATCH($L158,$B$145:$B$158,0),MATCH($AO$144,$A$145:$H$145,0))*고양시_Modal_split!C$3 * 0.01</f>
        <v>6.8172870018768315</v>
      </c>
      <c r="AP158" s="303">
        <f>INDEX($A$145:$H$158,MATCH($L158,$B$145:$B$158,0),MATCH($AO$144,$A$145:$H$145,0))*고양시_Modal_split!D$3 * 0.01</f>
        <v>1145.0607417795263</v>
      </c>
      <c r="AQ158" s="303">
        <f>INDEX($A$145:$H$158,MATCH($L158,$B$145:$B$158,0),MATCH($AO$144,$A$145:$H$145,0))*고양시_Modal_split!E$3 * 0.01</f>
        <v>138.53701085956845</v>
      </c>
      <c r="AR158" s="303">
        <f>INDEX($A$145:$H$158,MATCH($L158,$B$145:$B$158,0),MATCH($AO$144,$A$145:$H$145,0))*고양시_Modal_split!F$3 * 0.01</f>
        <v>223.26614931146622</v>
      </c>
      <c r="AS158" s="303">
        <f>INDEX($A$145:$H$158,MATCH($L158,$B$145:$B$158,0),MATCH($AO$144,$A$145:$H$145,0))*고양시_Modal_split!G$3 * 0.01</f>
        <v>22.399657291881017</v>
      </c>
      <c r="AT158" s="303">
        <f>INDEX($A$145:$H$158,MATCH($L158,$B$145:$B$158,0),MATCH($AO$144,$A$145:$H$145,0))*고양시_Modal_split!H$3 * 0.01</f>
        <v>0.24347453578131539</v>
      </c>
      <c r="AU158" s="303">
        <f>INDEX($A$145:$H$158,MATCH($L158,$B$145:$B$158,0),MATCH($AO$144,$A$145:$H$145,0))*고양시_Modal_split!I$3 * 0.01</f>
        <v>67.685920947205673</v>
      </c>
      <c r="AV158" s="303">
        <f>INDEX($A$145:$H$158,MATCH($L158,$B$145:$B$158,0),MATCH($AO$144,$A$145:$H$145,0))*고양시_Modal_split!J$3 * 0.01</f>
        <v>741.13648691832407</v>
      </c>
      <c r="AW158" s="303">
        <f>INDEX($A$145:$H$158,MATCH($L158,$B$145:$B$158,0),MATCH($AO$144,$A$145:$H$145,0))*고양시_Modal_split!K$3 * 0.01</f>
        <v>3.652118036719731</v>
      </c>
      <c r="AX158" s="303">
        <f>INDEX($A$145:$H$158,MATCH($L158,$B$145:$B$158,0),MATCH($AO$144,$A$145:$H$145,0))*고양시_Modal_split!L$3 * 0.01</f>
        <v>73.529309805957254</v>
      </c>
      <c r="AY158" s="303">
        <f>INDEX($A$145:$H$158,MATCH($L158,$B$145:$B$158,0),MATCH($AO$144,$A$145:$H$145,0))*고양시_Modal_split!M$3 * 0.01</f>
        <v>5.5999143229702542</v>
      </c>
      <c r="AZ158" s="303">
        <f>INDEX($A$145:$H$158,MATCH($L158,$B$145:$B$158,0),MATCH($AO$144,$A$145:$H$145,0))*고양시_Modal_split!N$3 * 0.01</f>
        <v>2.4347453578131542</v>
      </c>
      <c r="BA158" s="207">
        <f>INDEX($A$145:$H$158,MATCH($L158,$B$145:$B$158,0),MATCH($AO$144,$A$145:$H$145,0))*고양시_Modal_split!O$3 * 0.01</f>
        <v>4.3825416440636769</v>
      </c>
      <c r="BB158" s="207">
        <f>INDEX($A$145:$H$158,MATCH($L158,$B$145:$B$158,0),MATCH($AO$144,$A$145:$H$145,0))*고양시_Modal_split!P$3 * 0.01</f>
        <v>2434.745357813154</v>
      </c>
      <c r="BC158" s="207">
        <f>INDEX($A$145:$H$158,MATCH($L158,$B$145:$B$158,0),MATCH($BC$144,$A$145:$H$145,0))*고양시_Modal_split!C$3 * 0.01</f>
        <v>1.0713389735793822E-2</v>
      </c>
      <c r="BD158" s="207">
        <f>INDEX($A$145:$H$158,MATCH($L158,$B$145:$B$158,0),MATCH($BC$144,$A$145:$H$145,0))*고양시_Modal_split!D$3 * 0.01</f>
        <v>1.7994668545513697</v>
      </c>
      <c r="BE158" s="207">
        <f>INDEX($A$145:$H$158,MATCH($L158,$B$145:$B$158,0),MATCH($BC$144,$A$145:$H$145,0))*고양시_Modal_split!E$3 * 0.01</f>
        <v>0.21771138427381018</v>
      </c>
      <c r="BF158" s="207">
        <f>INDEX($A$145:$H$158,MATCH($L158,$B$145:$B$158,0),MATCH($BC$144,$A$145:$H$145,0))*고양시_Modal_split!F$3 * 0.01</f>
        <v>0.35086351384724773</v>
      </c>
      <c r="BG158" s="207">
        <f>INDEX($A$145:$H$158,MATCH($L158,$B$145:$B$158,0),MATCH($BC$144,$A$145:$H$145,0))*고양시_Modal_split!G$3 * 0.01</f>
        <v>3.520113770332256E-2</v>
      </c>
      <c r="BH158" s="207">
        <f>INDEX($A$145:$H$158,MATCH($L158,$B$145:$B$158,0),MATCH($BC$144,$A$145:$H$145,0))*고양시_Modal_split!H$3 * 0.01</f>
        <v>3.8262106199263659E-4</v>
      </c>
      <c r="BI158" s="207">
        <f>INDEX($A$145:$H$158,MATCH($L158,$B$145:$B$158,0),MATCH($BC$144,$A$145:$H$145,0))*고양시_Modal_split!I$3 * 0.01</f>
        <v>0.10636865523395296</v>
      </c>
      <c r="BJ158" s="207">
        <f>INDEX($A$145:$H$158,MATCH($L158,$B$145:$B$158,0),MATCH($BC$144,$A$145:$H$145,0))*고양시_Modal_split!J$3 * 0.01</f>
        <v>1.1646985127055858</v>
      </c>
      <c r="BK158" s="207">
        <f>INDEX($A$145:$H$158,MATCH($L158,$B$145:$B$158,0),MATCH($BC$144,$A$145:$H$145,0))*고양시_Modal_split!K$3 * 0.01</f>
        <v>5.7393159298895482E-3</v>
      </c>
      <c r="BL158" s="207">
        <f>INDEX($A$145:$H$158,MATCH($L158,$B$145:$B$158,0),MATCH($BC$144,$A$145:$H$145,0))*고양시_Modal_split!L$3 * 0.01</f>
        <v>0.11555156072177625</v>
      </c>
      <c r="BM158" s="207">
        <f>INDEX($A$145:$H$158,MATCH($L158,$B$145:$B$158,0),MATCH($BC$144,$A$145:$H$145,0))*고양시_Modal_split!M$3 * 0.01</f>
        <v>8.8002844258306401E-3</v>
      </c>
      <c r="BN158" s="207">
        <f>INDEX($A$145:$H$158,MATCH($L158,$B$145:$B$158,0),MATCH($BC$144,$A$145:$H$145,0))*고양시_Modal_split!N$3 * 0.01</f>
        <v>3.8262106199263659E-3</v>
      </c>
      <c r="BO158" s="207">
        <f>INDEX($A$145:$H$158,MATCH($L158,$B$145:$B$158,0),MATCH($BC$144,$A$145:$H$145,0))*고양시_Modal_split!O$3 * 0.01</f>
        <v>6.8871791158674582E-3</v>
      </c>
      <c r="BP158" s="207">
        <f>INDEX($A$145:$H$158,MATCH($L158,$B$145:$B$158,0),MATCH($BC$144,$A$145:$H$145,0))*고양시_Modal_split!P$3 * 0.01</f>
        <v>3.8262106199263655</v>
      </c>
      <c r="BQ158" s="207">
        <f>INDEX($A$145:$H$158,MATCH($L158,$B$145:$B$158,0),MATCH($BQ$144,$A$145:$H$145,0))*고양시_Modal_split!C$3 * 0.01</f>
        <v>4.0472805668554573E-2</v>
      </c>
      <c r="BR158" s="207">
        <f>INDEX($A$145:$H$158,MATCH($L158,$B$145:$B$158,0),MATCH($BQ$144,$A$145:$H$145,0))*고양시_Modal_split!D$3 * 0.01</f>
        <v>6.7979858949718635</v>
      </c>
      <c r="BS158" s="207">
        <f>INDEX($A$145:$H$158,MATCH($L158,$B$145:$B$158,0),MATCH($BQ$144,$A$145:$H$145,0))*고양시_Modal_split!E$3 * 0.01</f>
        <v>0.82246522947884115</v>
      </c>
      <c r="BT158" s="207">
        <f>INDEX($A$145:$H$158,MATCH($L158,$B$145:$B$158,0),MATCH($BQ$144,$A$145:$H$145,0))*고양시_Modal_split!F$3 * 0.01</f>
        <v>1.3254843856451624</v>
      </c>
      <c r="BU158" s="207">
        <f>INDEX($A$145:$H$158,MATCH($L158,$B$145:$B$158,0),MATCH($BQ$144,$A$145:$H$145,0))*고양시_Modal_split!G$3 * 0.01</f>
        <v>0.13298207576810789</v>
      </c>
      <c r="BV158" s="207">
        <f>INDEX($A$145:$H$158,MATCH($L158,$B$145:$B$158,0),MATCH($BQ$144,$A$145:$H$145,0))*고양시_Modal_split!H$3 * 0.01</f>
        <v>1.4454573453055205E-3</v>
      </c>
      <c r="BW158" s="207">
        <f>INDEX($A$145:$H$158,MATCH($L158,$B$145:$B$158,0),MATCH($BQ$144,$A$145:$H$145,0))*고양시_Modal_split!I$3 * 0.01</f>
        <v>0.40183714199493464</v>
      </c>
      <c r="BX158" s="207">
        <f>INDEX($A$145:$H$158,MATCH($L158,$B$145:$B$158,0),MATCH($BQ$144,$A$145:$H$145,0))*고양시_Modal_split!J$3 * 0.01</f>
        <v>4.3999721591100052</v>
      </c>
      <c r="BY158" s="207">
        <f>INDEX($A$145:$H$158,MATCH($L158,$B$145:$B$158,0),MATCH($BQ$144,$A$145:$H$145,0))*고양시_Modal_split!K$3 * 0.01</f>
        <v>2.1681860179582808E-2</v>
      </c>
      <c r="BZ158" s="207">
        <f>INDEX($A$145:$H$158,MATCH($L158,$B$145:$B$158,0),MATCH($BQ$144,$A$145:$H$145,0))*고양시_Modal_split!L$3 * 0.01</f>
        <v>0.43652811828226723</v>
      </c>
      <c r="CA158" s="207">
        <f>INDEX($A$145:$H$158,MATCH($L158,$B$145:$B$158,0),MATCH($BQ$144,$A$145:$H$145,0))*고양시_Modal_split!M$3 * 0.01</f>
        <v>3.3245518942026972E-2</v>
      </c>
      <c r="CB158" s="207">
        <f>INDEX($A$145:$H$158,MATCH($L158,$B$145:$B$158,0),MATCH($BQ$144,$A$145:$H$145,0))*고양시_Modal_split!N$3 * 0.01</f>
        <v>1.4454573453055206E-2</v>
      </c>
      <c r="CC158" s="207">
        <f>INDEX($A$145:$H$158,MATCH($L158,$B$145:$B$158,0),MATCH($BQ$144,$A$145:$H$145,0))*고양시_Modal_split!O$3 * 0.01</f>
        <v>2.6018232215499371E-2</v>
      </c>
      <c r="CD158" s="207">
        <f>INDEX($A$145:$H$158,MATCH($L158,$B$145:$B$158,0),MATCH($BQ$144,$A$145:$H$145,0))*고양시_Modal_split!P$3 * 0.01</f>
        <v>14.454573453055207</v>
      </c>
      <c r="CE158" s="304">
        <f t="shared" si="84"/>
        <v>142.1238282350414</v>
      </c>
      <c r="CF158" s="304">
        <f t="shared" si="64"/>
        <v>23871.727292478565</v>
      </c>
      <c r="CG158" s="304">
        <f t="shared" si="65"/>
        <v>2888.1592237763775</v>
      </c>
      <c r="CH158" s="304">
        <f t="shared" si="66"/>
        <v>4654.5553746976057</v>
      </c>
      <c r="CI158" s="304">
        <f t="shared" si="67"/>
        <v>466.97829277227885</v>
      </c>
      <c r="CJ158" s="304">
        <f t="shared" si="68"/>
        <v>5.0758510083943369</v>
      </c>
      <c r="CK158" s="304">
        <f t="shared" si="69"/>
        <v>1411.0865803336255</v>
      </c>
      <c r="CL158" s="304">
        <f t="shared" si="70"/>
        <v>15450.890469552362</v>
      </c>
      <c r="CM158" s="304">
        <f t="shared" si="71"/>
        <v>76.137765125915038</v>
      </c>
      <c r="CN158" s="304">
        <f t="shared" si="72"/>
        <v>1532.9070045350895</v>
      </c>
      <c r="CO158" s="304">
        <f t="shared" si="73"/>
        <v>116.74457319306971</v>
      </c>
      <c r="CP158" s="304">
        <f t="shared" si="74"/>
        <v>50.758510083943378</v>
      </c>
      <c r="CQ158" s="304">
        <f t="shared" si="75"/>
        <v>91.365318151098052</v>
      </c>
      <c r="CR158" s="304">
        <f t="shared" si="76"/>
        <v>50758.510083943358</v>
      </c>
      <c r="CS158" s="305">
        <f t="shared" si="85"/>
        <v>0</v>
      </c>
      <c r="CV158" s="267"/>
      <c r="CW158" s="267" t="s">
        <v>26</v>
      </c>
      <c r="CX158" s="267">
        <f>INDEX($M$144:$Z$158,MATCH($CW158,$L$144:$L$158,0),MATCH(CX$145,$M$145:$Z$145,0))/INDEX(고양시_재차인원!$D$4:$H$35,MATCH("고양시",고양시_재차인원!$B$4:$B$35,0),MATCH($CX$144,고양시_재차인원!$D$4:$H$4,0))</f>
        <v>2462.4847015557189</v>
      </c>
      <c r="CY158" s="267">
        <f>INDEX($M$144:$Z$158,MATCH($CW158,$L$144:$L$158,0),MATCH(CY$145,$M$145:$Z$145,0))/INDEX(고양시_재차인원!$K$4:$O$20,MATCH("경기도",고양시_재차인원!$K$4:$K$20,0),MATCH(CY$145,고양시_재차인원!$K$4:$O$4,0))</f>
        <v>2.0369244448791794E-2</v>
      </c>
      <c r="CZ158" s="267">
        <f>INDEX($M$144:$Z$158,MATCH($CW158,$L$144:$L$158,0),MATCH(CZ$145,$M$145:$Z$145,0))/INDEX(고양시_재차인원!$K$4:$O$20,MATCH("경기도",고양시_재차인원!$K$4:$K$20,0),MATCH(CZ$145,고양시_재차인원!$K$4:$O$4,0))</f>
        <v>5.6626499567641169</v>
      </c>
      <c r="DA158" s="267">
        <f>INDEX($M$144:$Z$158,MATCH($CW158,$L$144:$L$158,0),MATCH(DA$145,$M$145:$Z$145,0))/INDEX(고양시_재차인원!$D$4:$H$35,MATCH("고양시",고양시_재차인원!$B$4:$B$35,0),MATCH($CX$144,고양시_재차인원!$D$4:$H$4,0))</f>
        <v>158.12680839247867</v>
      </c>
      <c r="DB158" s="267">
        <f>INDEX($AA$144:$AN$158,MATCH($CW158,$L$144:$L$158,0),MATCH(DB$145,$AA$145:$AN$145,0))/INDEX(고양시_재차인원!$D$4:$H$35,MATCH("고양시",고양시_재차인원!$B$4:$B$35,0),MATCH($DB$144,고양시_재차인원!$D$4:$H$4,0))</f>
        <v>14156.089526388023</v>
      </c>
      <c r="DC158" s="267">
        <f>INDEX($AA$144:$AN$158,MATCH($CW158,$L$144:$L$158,0),MATCH(DC$145,$AA$145:$AN$145,0))/INDEX(고양시_재차인원!$K$4:$O$20,MATCH("경기도",고양시_재차인원!$K$4:$K$20,0),MATCH(DC$145,고양시_재차인원!$K$4:$O$4,0))</f>
        <v>0.14741638925060813</v>
      </c>
      <c r="DD158" s="267">
        <f>INDEX($AA$144:$AN$158,MATCH($CW158,$L$144:$L$158,0),MATCH(DD$145,$AA$145:$AN$145,0))/INDEX(고양시_재차인원!$K$4:$O$20,MATCH("경기도",고양시_재차인원!$K$4:$K$20,0),MATCH(DD$145,고양시_재차인원!$K$4:$O$4,0))</f>
        <v>40.981756211669051</v>
      </c>
      <c r="DE158" s="267">
        <f>INDEX($AA$144:$AN$158,MATCH($CW158,$L$144:$L$158,0),MATCH(DE$145,$AA$145:$AN$145,0))/INDEX(고양시_재차인원!$D$4:$H$35,MATCH("고양시",고양시_재차인원!$B$4:$B$35,0),MATCH($DB$144,고양시_재차인원!$D$4:$H$4,0))</f>
        <v>909.02382244720013</v>
      </c>
      <c r="DF158" s="267">
        <f>INDEX($AO$144:$BB$158,MATCH($CW158,$L$144:$L$158,0),MATCH(DF$145,$AO$145:$BB$145,0))/INDEX(고양시_재차인원!$D$4:$H$35,MATCH("고양시",고양시_재차인원!$B$4:$B$35,0),MATCH($DF$144,고양시_재차인원!$D$4:$H$4,0))</f>
        <v>880.81595521502027</v>
      </c>
      <c r="DG158" s="267">
        <f>INDEX($AO$144:$BB$158,MATCH($CW158,$L$144:$L$158,0),MATCH(DG$145,$AO$145:$BB$145,0))/INDEX(고양시_재차인원!$K$4:$O$20,MATCH("경기도",고양시_재차인원!$K$4:$K$20,0),MATCH(DG$145,고양시_재차인원!$K$4:$O$4,0))</f>
        <v>8.4569133651030016E-3</v>
      </c>
      <c r="DH158" s="267">
        <f>INDEX($AO$144:$BB$158,MATCH($CW158,$L$144:$L$158,0),MATCH(DH$145,$AO$145:$BB$145,0))/INDEX(고양시_재차인원!$K$4:$O$20,MATCH("경기도",고양시_재차인원!$K$4:$K$20,0),MATCH(DH$145,고양시_재차인원!$K$4:$O$4,0))</f>
        <v>2.351021915498634</v>
      </c>
      <c r="DI158" s="267">
        <f>INDEX($AO$144:$BB$158,MATCH($CW158,$L$144:$L$158,0),MATCH(DI$145,$AO$145:$BB$145,0))/INDEX(고양시_재차인원!$D$4:$H$35,MATCH("고양시",고양시_재차인원!$B$4:$B$35,0),MATCH($DF$144,고양시_재차인원!$D$4:$H$4,0))</f>
        <v>56.561007543044042</v>
      </c>
      <c r="DJ158" s="267">
        <f>INDEX($BC$144:$BP$158,MATCH($CW158,$L$144:$L$158,0),MATCH(DJ$145,$BC$145:$BP$145,0))/INDEX(고양시_재차인원!$D$4:$H$35,MATCH("고양시",고양시_재차인원!$B$4:$B$35,0),MATCH($DJ$144,고양시_재차인원!$D$4:$H$4,0))</f>
        <v>1.3231373930524777</v>
      </c>
      <c r="DK158" s="267">
        <f>INDEX($BC$144:$BP$158,MATCH($CW158,$L$144:$L$158,0),MATCH(DK$145,$BC$145:$BP$145,0))/INDEX(고양시_재차인원!$K$4:$O$20,MATCH("경기도",고양시_재차인원!$K$4:$K$20,0),MATCH(DK$145,고양시_재차인원!$K$4:$O$4,0))</f>
        <v>1.3290068148406968E-5</v>
      </c>
      <c r="DL158" s="267">
        <f>INDEX($BC$144:$BP$158,MATCH($CW158,$L$144:$L$158,0),MATCH(DL$145,$BC$145:$BP$145,0))/INDEX(고양시_재차인원!$K$4:$O$20,MATCH("경기도",고양시_재차인원!$K$4:$K$20,0),MATCH(DL$145,고양시_재차인원!$K$4:$O$4,0))</f>
        <v>3.6946389452571365E-3</v>
      </c>
      <c r="DM158" s="267">
        <f>INDEX($BC$144:$BP$158,MATCH($CW158,$L$144:$L$158,0),MATCH(DM$145,$BC$145:$BP$145,0))/INDEX(고양시_재차인원!$D$4:$H$35,MATCH("고양시",고양시_재차인원!$B$4:$B$35,0),MATCH($DJ$144,고양시_재차인원!$D$4:$H$4,0))</f>
        <v>8.4964382883658998E-2</v>
      </c>
      <c r="DN158" s="267">
        <f>INDEX($BQ$144:$CD$158,MATCH($CW158,$L$144:$L$158,0),MATCH(DN$145,$BQ$145:$CD$145,0))/INDEX(고양시_재차인원!$D$4:$H$35,MATCH("고양시",고양시_재차인원!$B$4:$B$35,0),MATCH($DN$144,고양시_재차인원!$D$4:$H$4,0))</f>
        <v>5.3952269007713198</v>
      </c>
      <c r="DO158" s="267">
        <f>INDEX($BQ$144:$CD$158,MATCH($CW158,$L$144:$L$158,0),MATCH(DO$145,$BQ$145:$CD$145,0))/INDEX(고양시_재차인원!$K$4:$O$20,MATCH("경기도",고양시_재차인원!$K$4:$K$20,0),MATCH(DO$145,고양시_재차인원!$K$4:$O$4,0))</f>
        <v>5.0206924116204255E-5</v>
      </c>
      <c r="DP158" s="267">
        <f>INDEX($BQ$144:$CD$158,MATCH($CW158,$L$144:$L$158,0),MATCH(DP$145,$BQ$145:$CD$145,0))/INDEX(고양시_재차인원!$K$4:$O$20,MATCH("경기도",고양시_재차인원!$K$4:$K$20,0),MATCH(DP$145,고양시_재차인원!$K$4:$O$4,0))</f>
        <v>1.3957524904304781E-2</v>
      </c>
      <c r="DQ158" s="267">
        <f>INDEX($BQ$144:$CD$158,MATCH($CW158,$L$144:$L$158,0),MATCH(DQ$145,$BQ$145:$CD$145,0))/INDEX(고양시_재차인원!$D$4:$H$35,MATCH("고양시",고양시_재차인원!$B$4:$B$35,0),MATCH($DN$144,고양시_재차인원!$D$4:$H$4,0))</f>
        <v>0.34645088752560893</v>
      </c>
      <c r="DR158" s="270">
        <f t="shared" si="86"/>
        <v>17506.108547452586</v>
      </c>
      <c r="DS158" s="270">
        <f t="shared" si="77"/>
        <v>0.17630604405676753</v>
      </c>
      <c r="DT158" s="270">
        <f t="shared" si="78"/>
        <v>49.01308024778136</v>
      </c>
      <c r="DU158" s="270">
        <f t="shared" si="79"/>
        <v>1124.1430536531323</v>
      </c>
      <c r="DW158" s="278"/>
      <c r="DX158" s="278" t="s">
        <v>26</v>
      </c>
      <c r="DY158" s="281">
        <f t="shared" si="87"/>
        <v>18630.25160110572</v>
      </c>
      <c r="DZ158" s="281">
        <f t="shared" si="88"/>
        <v>49.189386291838126</v>
      </c>
      <c r="EC158" s="278" t="s">
        <v>26</v>
      </c>
      <c r="ED158" s="281">
        <f t="shared" si="89"/>
        <v>18630.25160110572</v>
      </c>
      <c r="EE158" s="281">
        <f t="shared" si="80"/>
        <v>49.189386291838126</v>
      </c>
      <c r="EL158" s="322" t="s">
        <v>681</v>
      </c>
      <c r="EM158" s="322" t="s">
        <v>373</v>
      </c>
      <c r="EN158" s="322">
        <v>39402.4712</v>
      </c>
      <c r="EO158" s="322">
        <v>0.21217073572212786</v>
      </c>
      <c r="EP158" s="477">
        <v>849113</v>
      </c>
      <c r="EQ158" s="324">
        <f t="shared" ref="EQ158" si="93">VLOOKUP($EL158,$EC$102:$EE$114,2,FALSE)*$EO158</f>
        <v>953.28206605875732</v>
      </c>
      <c r="ER158" s="324">
        <f t="shared" ref="ER158" si="94">VLOOKUP($EL158,$EC$102:$EE$114,3,FALSE)*$EO158</f>
        <v>2.5227979373061027</v>
      </c>
      <c r="ET158" s="420" t="s">
        <v>681</v>
      </c>
      <c r="EU158" s="420" t="s">
        <v>373</v>
      </c>
      <c r="EV158" s="412"/>
      <c r="EW158" s="412"/>
      <c r="EX158" s="421">
        <v>849113</v>
      </c>
      <c r="EY158" s="423">
        <f t="shared" si="92"/>
        <v>926.11352717608281</v>
      </c>
      <c r="EZ158" s="423">
        <f t="shared" si="81"/>
        <v>2.4508981960928788</v>
      </c>
      <c r="FA158">
        <v>0</v>
      </c>
      <c r="FD158" s="322" t="s">
        <v>370</v>
      </c>
      <c r="FE158" s="322" t="s">
        <v>373</v>
      </c>
      <c r="FF158" s="75"/>
      <c r="FG158" s="75"/>
      <c r="FH158" s="323">
        <v>849113</v>
      </c>
      <c r="FI158" s="327">
        <f t="shared" si="82"/>
        <v>926.11352717608281</v>
      </c>
      <c r="FJ158" s="327">
        <f t="shared" si="83"/>
        <v>2.4508981960928788</v>
      </c>
      <c r="FL158" s="101"/>
      <c r="FM158" s="101"/>
      <c r="FN158" s="34"/>
      <c r="FO158" s="34"/>
      <c r="FP158" s="374"/>
      <c r="FQ158" s="405"/>
      <c r="FR158" s="405"/>
    </row>
    <row r="159" spans="1:174">
      <c r="ED159" s="230" t="b">
        <f>SUM(ED146:ED157)=ED158</f>
        <v>1</v>
      </c>
      <c r="EE159" s="230" t="b">
        <f>SUM(EE146:EE157)=EE158</f>
        <v>1</v>
      </c>
      <c r="EL159" s="75" t="s">
        <v>669</v>
      </c>
      <c r="EM159" s="325" t="s">
        <v>682</v>
      </c>
      <c r="EN159" s="75">
        <v>39402.4712</v>
      </c>
      <c r="EO159" s="75">
        <v>0.19507846659237171</v>
      </c>
      <c r="EP159" s="478"/>
      <c r="EQ159" s="324">
        <f>VLOOKUP($EL159,$EC$102:$EE$114,2,FALSE)*$EO159</f>
        <v>658.82795241794975</v>
      </c>
      <c r="ER159" s="324">
        <f>VLOOKUP($EL159,$EC$102:$EE$114,3,FALSE)*$EO159</f>
        <v>1.7435446008874782</v>
      </c>
      <c r="ET159" s="420" t="s">
        <v>669</v>
      </c>
      <c r="EU159" s="420" t="s">
        <v>569</v>
      </c>
      <c r="EV159" s="420">
        <v>70189.171300000002</v>
      </c>
      <c r="EW159" s="420">
        <v>0.34750094325538916</v>
      </c>
      <c r="EX159" s="421">
        <v>849114</v>
      </c>
      <c r="EY159" s="423">
        <f t="shared" si="92"/>
        <v>640.05135577403814</v>
      </c>
      <c r="EZ159" s="423">
        <f t="shared" si="81"/>
        <v>1.6938535797621852</v>
      </c>
      <c r="FA159">
        <v>0</v>
      </c>
      <c r="FD159" s="306" t="s">
        <v>669</v>
      </c>
      <c r="FE159" s="306" t="s">
        <v>569</v>
      </c>
      <c r="FF159" s="306">
        <v>70189.171300000002</v>
      </c>
      <c r="FG159" s="306">
        <v>0.34750094325538916</v>
      </c>
      <c r="FH159" s="307">
        <v>849114</v>
      </c>
      <c r="FI159" s="326">
        <f t="shared" si="82"/>
        <v>640.05135577403814</v>
      </c>
      <c r="FJ159" s="326">
        <f t="shared" si="83"/>
        <v>1.6938535797621852</v>
      </c>
      <c r="FL159" s="101"/>
      <c r="FM159" s="101"/>
      <c r="FN159" s="101"/>
      <c r="FO159" s="101"/>
      <c r="FP159" s="374"/>
      <c r="FQ159" s="405"/>
      <c r="FR159" s="405"/>
    </row>
    <row r="160" spans="1:174">
      <c r="EL160" s="306" t="s">
        <v>669</v>
      </c>
      <c r="EM160" s="306" t="s">
        <v>569</v>
      </c>
      <c r="EN160" s="306">
        <v>70189.171300000002</v>
      </c>
      <c r="EO160" s="306">
        <v>0.34750094325538916</v>
      </c>
      <c r="EP160" s="308">
        <v>849114</v>
      </c>
      <c r="EQ160" s="308">
        <f>VLOOKUP($EL160,$EC$145:$EE$157,2,FALSE)*$EO160</f>
        <v>1176.3242006080104</v>
      </c>
      <c r="ER160" s="308">
        <f>VLOOKUP($EL160,$EC$145:$EE$157,3,FALSE)*$EO160</f>
        <v>3.1058445557821099</v>
      </c>
      <c r="ET160" s="420" t="s">
        <v>669</v>
      </c>
      <c r="EU160" s="420" t="s">
        <v>79</v>
      </c>
      <c r="EV160" s="420">
        <v>51949.691800000001</v>
      </c>
      <c r="EW160" s="420">
        <v>0.2571987468717522</v>
      </c>
      <c r="EX160" s="421">
        <v>849115</v>
      </c>
      <c r="EY160" s="423">
        <f t="shared" si="92"/>
        <v>1142.7989608906821</v>
      </c>
      <c r="EZ160" s="423">
        <f t="shared" si="81"/>
        <v>3.0173279859423201</v>
      </c>
      <c r="FA160">
        <v>0</v>
      </c>
      <c r="FD160" s="306" t="s">
        <v>669</v>
      </c>
      <c r="FE160" s="306" t="s">
        <v>79</v>
      </c>
      <c r="FF160" s="306">
        <v>51949.691800000001</v>
      </c>
      <c r="FG160" s="306">
        <v>0.2571987468717522</v>
      </c>
      <c r="FH160" s="307">
        <v>849115</v>
      </c>
      <c r="FI160" s="326">
        <f t="shared" si="82"/>
        <v>1142.7989608906821</v>
      </c>
      <c r="FJ160" s="326">
        <f t="shared" si="83"/>
        <v>3.0173279859423201</v>
      </c>
      <c r="FL160" s="101"/>
      <c r="FM160" s="101"/>
      <c r="FN160" s="101"/>
      <c r="FO160" s="101"/>
      <c r="FP160" s="374"/>
      <c r="FQ160" s="405"/>
      <c r="FR160" s="405"/>
    </row>
    <row r="161" spans="142:174">
      <c r="EL161" s="306" t="s">
        <v>669</v>
      </c>
      <c r="EM161" s="306" t="s">
        <v>79</v>
      </c>
      <c r="EN161" s="306">
        <v>51949.691800000001</v>
      </c>
      <c r="EO161" s="306">
        <v>0.2571987468717522</v>
      </c>
      <c r="EP161" s="308">
        <v>849115</v>
      </c>
      <c r="EQ161" s="308">
        <f>VLOOKUP($EL161,$EC$145:$EE$157,2,FALSE)*$EO161</f>
        <v>870.64255848348387</v>
      </c>
      <c r="ER161" s="308">
        <f>VLOOKUP($EL161,$EC$145:$EE$157,3,FALSE)*$EO161</f>
        <v>2.2987544155773287</v>
      </c>
      <c r="ET161" s="420" t="s">
        <v>669</v>
      </c>
      <c r="EU161" s="420" t="s">
        <v>223</v>
      </c>
      <c r="EV161" s="420">
        <v>40441.3442</v>
      </c>
      <c r="EW161" s="420">
        <v>0.20022184328048706</v>
      </c>
      <c r="EX161" s="421">
        <v>849116</v>
      </c>
      <c r="EY161" s="423">
        <f t="shared" si="92"/>
        <v>845.82924556670457</v>
      </c>
      <c r="EZ161" s="423">
        <f t="shared" si="81"/>
        <v>2.233239914733375</v>
      </c>
      <c r="FA161">
        <v>0</v>
      </c>
      <c r="FD161" s="306" t="s">
        <v>669</v>
      </c>
      <c r="FE161" s="306" t="s">
        <v>223</v>
      </c>
      <c r="FF161" s="306">
        <v>40441.3442</v>
      </c>
      <c r="FG161" s="306">
        <v>0.20022184328048706</v>
      </c>
      <c r="FH161" s="307">
        <v>849116</v>
      </c>
      <c r="FI161" s="326">
        <f t="shared" si="82"/>
        <v>845.82924556670457</v>
      </c>
      <c r="FJ161" s="326">
        <f t="shared" si="83"/>
        <v>2.233239914733375</v>
      </c>
      <c r="FL161" s="101"/>
      <c r="FM161" s="101"/>
      <c r="FN161" s="101"/>
      <c r="FO161" s="101"/>
      <c r="FP161" s="374"/>
      <c r="FQ161" s="405"/>
      <c r="FR161" s="405"/>
    </row>
    <row r="162" spans="142:174">
      <c r="EL162" s="306" t="s">
        <v>669</v>
      </c>
      <c r="EM162" s="306" t="s">
        <v>223</v>
      </c>
      <c r="EN162" s="306">
        <v>40441.3442</v>
      </c>
      <c r="EO162" s="306">
        <v>0.20022184328048706</v>
      </c>
      <c r="EP162" s="308">
        <v>849116</v>
      </c>
      <c r="EQ162" s="308">
        <f>VLOOKUP($EL162,$EC$145:$EE$157,2,FALSE)*$EO162</f>
        <v>677.77024584386845</v>
      </c>
      <c r="ER162" s="308">
        <f>VLOOKUP($EL162,$EC$145:$EE$157,3,FALSE)*$EO162</f>
        <v>1.7895143422512583</v>
      </c>
      <c r="ET162" s="420" t="s">
        <v>670</v>
      </c>
      <c r="EU162" s="420" t="s">
        <v>570</v>
      </c>
      <c r="EV162" s="420">
        <v>53247.161800000002</v>
      </c>
      <c r="EW162" s="420">
        <v>1</v>
      </c>
      <c r="EX162" s="421">
        <v>849117</v>
      </c>
      <c r="EY162" s="423">
        <f t="shared" si="92"/>
        <v>658.45379383731824</v>
      </c>
      <c r="EZ162" s="423">
        <f t="shared" si="81"/>
        <v>1.7385131834970975</v>
      </c>
      <c r="FA162">
        <v>0</v>
      </c>
      <c r="FD162" s="322" t="s">
        <v>670</v>
      </c>
      <c r="FE162" s="322" t="s">
        <v>570</v>
      </c>
      <c r="FF162" s="322">
        <v>53247.161800000002</v>
      </c>
      <c r="FG162" s="322">
        <v>1</v>
      </c>
      <c r="FH162" s="323">
        <v>849117</v>
      </c>
      <c r="FI162" s="327">
        <f t="shared" si="82"/>
        <v>658.45379383731824</v>
      </c>
      <c r="FJ162" s="327">
        <f t="shared" si="83"/>
        <v>1.7385131834970975</v>
      </c>
      <c r="FL162" s="101"/>
      <c r="FM162" s="101"/>
      <c r="FN162" s="101"/>
      <c r="FO162" s="101"/>
      <c r="FP162" s="374"/>
      <c r="FQ162" s="405"/>
      <c r="FR162" s="405"/>
    </row>
    <row r="163" spans="142:174">
      <c r="EL163" s="322" t="s">
        <v>670</v>
      </c>
      <c r="EM163" s="322" t="s">
        <v>570</v>
      </c>
      <c r="EN163" s="322">
        <v>53247.161800000002</v>
      </c>
      <c r="EO163" s="322">
        <v>1</v>
      </c>
      <c r="EP163" s="323">
        <v>849117</v>
      </c>
      <c r="EQ163" s="324">
        <f>ED150+ED149</f>
        <v>1497.0079719041717</v>
      </c>
      <c r="ER163" s="324">
        <f>EE150+EE149</f>
        <v>3.9525447636780742</v>
      </c>
      <c r="ET163" s="420" t="s">
        <v>13</v>
      </c>
      <c r="EU163" s="420" t="s">
        <v>575</v>
      </c>
      <c r="EV163" s="420">
        <v>8507.8255000000008</v>
      </c>
      <c r="EW163" s="420">
        <v>0.38150552170840318</v>
      </c>
      <c r="EX163" s="421">
        <v>849118</v>
      </c>
      <c r="EY163" s="423">
        <f t="shared" si="92"/>
        <v>1454.3432447049029</v>
      </c>
      <c r="EZ163" s="423">
        <f t="shared" si="81"/>
        <v>3.8398972379132492</v>
      </c>
      <c r="FA163">
        <v>0</v>
      </c>
      <c r="FD163" s="306" t="s">
        <v>13</v>
      </c>
      <c r="FE163" s="306" t="s">
        <v>575</v>
      </c>
      <c r="FF163" s="306">
        <v>8507.8255000000008</v>
      </c>
      <c r="FG163" s="306">
        <v>0.38150552170840318</v>
      </c>
      <c r="FH163" s="307">
        <v>849118</v>
      </c>
      <c r="FI163" s="326">
        <f t="shared" si="82"/>
        <v>1454.3432447049029</v>
      </c>
      <c r="FJ163" s="326">
        <f t="shared" si="83"/>
        <v>3.8398972379132492</v>
      </c>
      <c r="FL163" s="101"/>
      <c r="FM163" s="101"/>
      <c r="FN163" s="101"/>
      <c r="FO163" s="101"/>
      <c r="FP163" s="374"/>
      <c r="FQ163" s="405"/>
      <c r="FR163" s="405"/>
    </row>
    <row r="164" spans="142:174">
      <c r="EL164" s="306" t="s">
        <v>13</v>
      </c>
      <c r="EM164" s="306" t="s">
        <v>575</v>
      </c>
      <c r="EN164" s="306">
        <v>8507.8255000000008</v>
      </c>
      <c r="EO164" s="306">
        <v>0.38150552170840318</v>
      </c>
      <c r="EP164" s="308">
        <v>849118</v>
      </c>
      <c r="EQ164" s="308">
        <f t="shared" ref="EQ164:EQ180" si="95">VLOOKUP($EL164,$EC$145:$EE$157,2,FALSE)*$EO164</f>
        <v>121.29848998345184</v>
      </c>
      <c r="ER164" s="308">
        <f t="shared" ref="ER164:ER180" si="96">VLOOKUP($EL164,$EC$145:$EE$157,3,FALSE)*$EO164</f>
        <v>0.32026396680861519</v>
      </c>
      <c r="ET164" s="420" t="s">
        <v>13</v>
      </c>
      <c r="EU164" s="420" t="s">
        <v>576</v>
      </c>
      <c r="EV164" s="420">
        <v>5790.3404</v>
      </c>
      <c r="EW164" s="420">
        <v>0.25964881804066664</v>
      </c>
      <c r="EX164" s="421">
        <v>849119</v>
      </c>
      <c r="EY164" s="423">
        <f t="shared" si="92"/>
        <v>117.84148301892347</v>
      </c>
      <c r="EZ164" s="423">
        <f t="shared" si="81"/>
        <v>0.31113644375456967</v>
      </c>
      <c r="FA164">
        <v>0</v>
      </c>
      <c r="FD164" s="306" t="s">
        <v>13</v>
      </c>
      <c r="FE164" s="306" t="s">
        <v>576</v>
      </c>
      <c r="FF164" s="306">
        <v>5790.3404</v>
      </c>
      <c r="FG164" s="306">
        <v>0.25964881804066664</v>
      </c>
      <c r="FH164" s="307">
        <v>849119</v>
      </c>
      <c r="FI164" s="326">
        <f t="shared" si="82"/>
        <v>117.84148301892347</v>
      </c>
      <c r="FJ164" s="326">
        <f t="shared" si="83"/>
        <v>0.31113644375456967</v>
      </c>
      <c r="FL164" s="101"/>
      <c r="FM164" s="101"/>
      <c r="FN164" s="101"/>
      <c r="FO164" s="101"/>
      <c r="FP164" s="374"/>
      <c r="FQ164" s="405"/>
      <c r="FR164" s="405"/>
    </row>
    <row r="165" spans="142:174">
      <c r="EL165" s="306" t="s">
        <v>13</v>
      </c>
      <c r="EM165" s="306" t="s">
        <v>576</v>
      </c>
      <c r="EN165" s="306">
        <v>5790.3404</v>
      </c>
      <c r="EO165" s="306">
        <v>0.25964881804066664</v>
      </c>
      <c r="EP165" s="308">
        <v>849119</v>
      </c>
      <c r="EQ165" s="308">
        <f t="shared" si="95"/>
        <v>82.554531355888344</v>
      </c>
      <c r="ER165" s="308">
        <f t="shared" si="96"/>
        <v>0.21796843220117565</v>
      </c>
      <c r="ET165" s="420" t="s">
        <v>13</v>
      </c>
      <c r="EU165" s="420" t="s">
        <v>382</v>
      </c>
      <c r="EV165" s="420">
        <v>1771.3566000000001</v>
      </c>
      <c r="EW165" s="420">
        <v>7.943067518423165E-2</v>
      </c>
      <c r="EX165" s="421">
        <v>849120</v>
      </c>
      <c r="EY165" s="423">
        <f t="shared" si="92"/>
        <v>80.20172721224553</v>
      </c>
      <c r="EZ165" s="423">
        <f t="shared" si="81"/>
        <v>0.21175633188344214</v>
      </c>
      <c r="FA165">
        <v>0</v>
      </c>
      <c r="FD165" s="306" t="s">
        <v>13</v>
      </c>
      <c r="FE165" s="306" t="s">
        <v>382</v>
      </c>
      <c r="FF165" s="306">
        <v>1771.3566000000001</v>
      </c>
      <c r="FG165" s="306">
        <v>7.943067518423165E-2</v>
      </c>
      <c r="FH165" s="307">
        <v>849120</v>
      </c>
      <c r="FI165" s="326">
        <f t="shared" si="82"/>
        <v>80.20172721224553</v>
      </c>
      <c r="FJ165" s="326">
        <f t="shared" si="83"/>
        <v>0.21175633188344214</v>
      </c>
      <c r="FL165" s="101"/>
      <c r="FM165" s="101"/>
      <c r="FN165" s="101"/>
      <c r="FO165" s="101"/>
      <c r="FP165" s="374"/>
      <c r="FQ165" s="405"/>
      <c r="FR165" s="405"/>
    </row>
    <row r="166" spans="142:174">
      <c r="EL166" s="306" t="s">
        <v>13</v>
      </c>
      <c r="EM166" s="306" t="s">
        <v>382</v>
      </c>
      <c r="EN166" s="306">
        <v>1771.3566000000001</v>
      </c>
      <c r="EO166" s="306">
        <v>7.943067518423165E-2</v>
      </c>
      <c r="EP166" s="308">
        <v>849120</v>
      </c>
      <c r="EQ166" s="308">
        <f t="shared" si="95"/>
        <v>25.254735278975961</v>
      </c>
      <c r="ER166" s="308">
        <f t="shared" si="96"/>
        <v>6.6679986719123632E-2</v>
      </c>
      <c r="ET166" s="420" t="s">
        <v>13</v>
      </c>
      <c r="EU166" s="420" t="s">
        <v>383</v>
      </c>
      <c r="EV166" s="420">
        <v>6231.1390000000001</v>
      </c>
      <c r="EW166" s="420">
        <v>0.2794149850666986</v>
      </c>
      <c r="EX166" s="421">
        <v>849121</v>
      </c>
      <c r="EY166" s="423">
        <f t="shared" si="92"/>
        <v>24.534975323525146</v>
      </c>
      <c r="EZ166" s="423">
        <f t="shared" si="81"/>
        <v>6.4779607097628616E-2</v>
      </c>
      <c r="FA166">
        <v>0</v>
      </c>
      <c r="FD166" s="306" t="s">
        <v>13</v>
      </c>
      <c r="FE166" s="306" t="s">
        <v>383</v>
      </c>
      <c r="FF166" s="306">
        <v>6231.1390000000001</v>
      </c>
      <c r="FG166" s="306">
        <v>0.2794149850666986</v>
      </c>
      <c r="FH166" s="307">
        <v>849121</v>
      </c>
      <c r="FI166" s="326">
        <f t="shared" si="82"/>
        <v>24.534975323525146</v>
      </c>
      <c r="FJ166" s="326">
        <f t="shared" si="83"/>
        <v>6.4779607097628616E-2</v>
      </c>
      <c r="FL166" s="101"/>
      <c r="FM166" s="101"/>
      <c r="FN166" s="101"/>
      <c r="FO166" s="101"/>
      <c r="FP166" s="374"/>
      <c r="FQ166" s="405"/>
      <c r="FR166" s="405"/>
    </row>
    <row r="167" spans="142:174">
      <c r="EL167" s="306" t="s">
        <v>13</v>
      </c>
      <c r="EM167" s="306" t="s">
        <v>383</v>
      </c>
      <c r="EN167" s="306">
        <v>6231.1390000000001</v>
      </c>
      <c r="EO167" s="306">
        <v>0.2794149850666986</v>
      </c>
      <c r="EP167" s="308">
        <v>849121</v>
      </c>
      <c r="EQ167" s="308">
        <f t="shared" si="95"/>
        <v>88.839122473421213</v>
      </c>
      <c r="ER167" s="308">
        <f t="shared" si="96"/>
        <v>0.23456161552395113</v>
      </c>
      <c r="ET167" s="420" t="s">
        <v>301</v>
      </c>
      <c r="EU167" s="420" t="s">
        <v>577</v>
      </c>
      <c r="EV167" s="420">
        <v>11058.6175</v>
      </c>
      <c r="EW167" s="420">
        <v>0.1539041977987548</v>
      </c>
      <c r="EX167" s="421">
        <v>849122</v>
      </c>
      <c r="EY167" s="423">
        <f t="shared" si="92"/>
        <v>86.307207482928717</v>
      </c>
      <c r="EZ167" s="423">
        <f t="shared" si="81"/>
        <v>0.22787660948151853</v>
      </c>
      <c r="FA167">
        <v>0</v>
      </c>
      <c r="FD167" s="306" t="s">
        <v>301</v>
      </c>
      <c r="FE167" s="306" t="s">
        <v>577</v>
      </c>
      <c r="FF167" s="306">
        <v>11058.6175</v>
      </c>
      <c r="FG167" s="306">
        <v>0.1539041977987548</v>
      </c>
      <c r="FH167" s="307">
        <v>849122</v>
      </c>
      <c r="FI167" s="326">
        <f t="shared" si="82"/>
        <v>86.307207482928717</v>
      </c>
      <c r="FJ167" s="326">
        <f t="shared" si="83"/>
        <v>0.22787660948151853</v>
      </c>
      <c r="FL167" s="101"/>
      <c r="FM167" s="101"/>
      <c r="FN167" s="101"/>
      <c r="FO167" s="101"/>
      <c r="FP167" s="374"/>
      <c r="FQ167" s="405"/>
      <c r="FR167" s="405"/>
    </row>
    <row r="168" spans="142:174">
      <c r="EL168" s="306" t="s">
        <v>301</v>
      </c>
      <c r="EM168" s="306" t="s">
        <v>577</v>
      </c>
      <c r="EN168" s="306">
        <v>11058.6175</v>
      </c>
      <c r="EO168" s="306">
        <v>0.1539041977987548</v>
      </c>
      <c r="EP168" s="308">
        <v>849122</v>
      </c>
      <c r="EQ168" s="308">
        <f t="shared" si="95"/>
        <v>859.33427866051932</v>
      </c>
      <c r="ER168" s="308">
        <f t="shared" si="96"/>
        <v>2.2688972050351484</v>
      </c>
      <c r="ET168" s="420" t="s">
        <v>301</v>
      </c>
      <c r="EU168" s="420" t="s">
        <v>103</v>
      </c>
      <c r="EV168" s="420">
        <v>11210.3078</v>
      </c>
      <c r="EW168" s="420">
        <v>0.15601529115516691</v>
      </c>
      <c r="EX168" s="421">
        <v>849123</v>
      </c>
      <c r="EY168" s="423">
        <f t="shared" si="92"/>
        <v>834.84325171869455</v>
      </c>
      <c r="EZ168" s="423">
        <f t="shared" si="81"/>
        <v>2.2042336346916467</v>
      </c>
      <c r="FA168">
        <v>0</v>
      </c>
      <c r="FD168" s="306" t="s">
        <v>301</v>
      </c>
      <c r="FE168" s="306" t="s">
        <v>103</v>
      </c>
      <c r="FF168" s="306">
        <v>11210.3078</v>
      </c>
      <c r="FG168" s="306">
        <v>0.15601529115516691</v>
      </c>
      <c r="FH168" s="307">
        <v>849123</v>
      </c>
      <c r="FI168" s="326">
        <f t="shared" si="82"/>
        <v>834.84325171869455</v>
      </c>
      <c r="FJ168" s="326">
        <f t="shared" si="83"/>
        <v>2.2042336346916467</v>
      </c>
      <c r="FL168" s="101"/>
      <c r="FM168" s="101"/>
      <c r="FN168" s="101"/>
      <c r="FO168" s="101"/>
      <c r="FP168" s="374"/>
      <c r="FQ168" s="405"/>
      <c r="FR168" s="405"/>
    </row>
    <row r="169" spans="142:174">
      <c r="EL169" s="306" t="s">
        <v>301</v>
      </c>
      <c r="EM169" s="306" t="s">
        <v>103</v>
      </c>
      <c r="EN169" s="306">
        <v>11210.3078</v>
      </c>
      <c r="EO169" s="306">
        <v>0.15601529115516691</v>
      </c>
      <c r="EP169" s="308">
        <v>849123</v>
      </c>
      <c r="EQ169" s="308">
        <f t="shared" si="95"/>
        <v>871.12170819502467</v>
      </c>
      <c r="ER169" s="308">
        <f t="shared" si="96"/>
        <v>2.3000195128372711</v>
      </c>
      <c r="ET169" s="420" t="s">
        <v>301</v>
      </c>
      <c r="EU169" s="420" t="s">
        <v>104</v>
      </c>
      <c r="EV169" s="420">
        <v>10719.050499999999</v>
      </c>
      <c r="EW169" s="420">
        <v>0.14917840031693305</v>
      </c>
      <c r="EX169" s="421">
        <v>849124</v>
      </c>
      <c r="EY169" s="423">
        <f t="shared" si="92"/>
        <v>846.29473951146645</v>
      </c>
      <c r="EZ169" s="423">
        <f t="shared" si="81"/>
        <v>2.2344689567214089</v>
      </c>
      <c r="FA169">
        <v>0</v>
      </c>
      <c r="FD169" s="306" t="s">
        <v>301</v>
      </c>
      <c r="FE169" s="306" t="s">
        <v>104</v>
      </c>
      <c r="FF169" s="306">
        <v>10719.050499999999</v>
      </c>
      <c r="FG169" s="306">
        <v>0.14917840031693305</v>
      </c>
      <c r="FH169" s="307">
        <v>849124</v>
      </c>
      <c r="FI169" s="326">
        <f t="shared" si="82"/>
        <v>846.29473951146645</v>
      </c>
      <c r="FJ169" s="326">
        <f t="shared" si="83"/>
        <v>2.2344689567214089</v>
      </c>
      <c r="FL169" s="101"/>
      <c r="FM169" s="101"/>
      <c r="FN169" s="101"/>
      <c r="FO169" s="101"/>
      <c r="FP169" s="374"/>
      <c r="FQ169" s="405"/>
      <c r="FR169" s="405"/>
    </row>
    <row r="170" spans="142:174">
      <c r="EL170" s="306" t="s">
        <v>301</v>
      </c>
      <c r="EM170" s="306" t="s">
        <v>104</v>
      </c>
      <c r="EN170" s="306">
        <v>10719.050499999999</v>
      </c>
      <c r="EO170" s="306">
        <v>0.14917840031693305</v>
      </c>
      <c r="EP170" s="308">
        <v>849124</v>
      </c>
      <c r="EQ170" s="308">
        <f t="shared" si="95"/>
        <v>832.94747551790965</v>
      </c>
      <c r="ER170" s="308">
        <f t="shared" si="96"/>
        <v>2.1992282236075718</v>
      </c>
      <c r="ET170" s="420" t="s">
        <v>301</v>
      </c>
      <c r="EU170" s="420" t="s">
        <v>117</v>
      </c>
      <c r="EV170" s="420">
        <v>25550.6122</v>
      </c>
      <c r="EW170" s="420">
        <v>0.35559114635333733</v>
      </c>
      <c r="EX170" s="421">
        <v>849125</v>
      </c>
      <c r="EY170" s="423">
        <f t="shared" si="92"/>
        <v>809.20847246564927</v>
      </c>
      <c r="EZ170" s="423">
        <f t="shared" si="81"/>
        <v>2.1365502192347559</v>
      </c>
      <c r="FA170">
        <v>0</v>
      </c>
      <c r="FD170" s="306" t="s">
        <v>301</v>
      </c>
      <c r="FE170" s="306" t="s">
        <v>117</v>
      </c>
      <c r="FF170" s="306">
        <v>25550.6122</v>
      </c>
      <c r="FG170" s="306">
        <v>0.35559114635333733</v>
      </c>
      <c r="FH170" s="307">
        <v>849125</v>
      </c>
      <c r="FI170" s="326">
        <f t="shared" si="82"/>
        <v>809.20847246564927</v>
      </c>
      <c r="FJ170" s="326">
        <f t="shared" si="83"/>
        <v>2.1365502192347559</v>
      </c>
      <c r="FL170" s="101"/>
      <c r="FM170" s="101"/>
      <c r="FN170" s="101"/>
      <c r="FO170" s="101"/>
      <c r="FP170" s="374"/>
      <c r="FQ170" s="405"/>
      <c r="FR170" s="405"/>
    </row>
    <row r="171" spans="142:174">
      <c r="EL171" s="306" t="s">
        <v>301</v>
      </c>
      <c r="EM171" s="306" t="s">
        <v>117</v>
      </c>
      <c r="EN171" s="306">
        <v>25550.6122</v>
      </c>
      <c r="EO171" s="306">
        <v>0.35559114635333733</v>
      </c>
      <c r="EP171" s="308">
        <v>849125</v>
      </c>
      <c r="EQ171" s="308">
        <f t="shared" si="95"/>
        <v>1985.4667099410628</v>
      </c>
      <c r="ER171" s="308">
        <f t="shared" si="96"/>
        <v>5.2422206127951307</v>
      </c>
      <c r="ET171" s="420" t="s">
        <v>301</v>
      </c>
      <c r="EU171" s="420" t="s">
        <v>118</v>
      </c>
      <c r="EV171" s="420">
        <v>13315.3163</v>
      </c>
      <c r="EW171" s="420">
        <v>0.18531096437580774</v>
      </c>
      <c r="EX171" s="421">
        <v>849126</v>
      </c>
      <c r="EY171" s="423">
        <f t="shared" si="92"/>
        <v>1928.8809087077427</v>
      </c>
      <c r="EZ171" s="423">
        <f t="shared" si="81"/>
        <v>5.0928173253304694</v>
      </c>
      <c r="FA171">
        <v>0</v>
      </c>
      <c r="FD171" s="306" t="s">
        <v>301</v>
      </c>
      <c r="FE171" s="306" t="s">
        <v>118</v>
      </c>
      <c r="FF171" s="306">
        <v>13315.3163</v>
      </c>
      <c r="FG171" s="306">
        <v>0.18531096437580774</v>
      </c>
      <c r="FH171" s="307">
        <v>849126</v>
      </c>
      <c r="FI171" s="326">
        <f t="shared" si="82"/>
        <v>1928.8809087077427</v>
      </c>
      <c r="FJ171" s="326">
        <f t="shared" si="83"/>
        <v>5.0928173253304694</v>
      </c>
      <c r="FL171" s="101"/>
      <c r="FM171" s="101"/>
      <c r="FN171" s="101"/>
      <c r="FO171" s="101"/>
      <c r="FP171" s="374"/>
      <c r="FQ171" s="405"/>
      <c r="FR171" s="405"/>
    </row>
    <row r="172" spans="142:174">
      <c r="EL172" s="306" t="s">
        <v>301</v>
      </c>
      <c r="EM172" s="306" t="s">
        <v>118</v>
      </c>
      <c r="EN172" s="306">
        <v>13315.3163</v>
      </c>
      <c r="EO172" s="306">
        <v>0.18531096437580774</v>
      </c>
      <c r="EP172" s="308">
        <v>849126</v>
      </c>
      <c r="EQ172" s="308">
        <f t="shared" si="95"/>
        <v>1034.6960393373904</v>
      </c>
      <c r="ER172" s="308">
        <f t="shared" si="96"/>
        <v>2.7319042309971344</v>
      </c>
      <c r="ET172" s="420" t="s">
        <v>302</v>
      </c>
      <c r="EU172" s="420" t="s">
        <v>579</v>
      </c>
      <c r="EV172" s="420">
        <v>15739.680700000001</v>
      </c>
      <c r="EW172" s="420">
        <v>0.310763615277375</v>
      </c>
      <c r="EX172" s="421">
        <v>849127</v>
      </c>
      <c r="EY172" s="423">
        <f t="shared" si="92"/>
        <v>1005.2072022162748</v>
      </c>
      <c r="EZ172" s="423">
        <f t="shared" si="81"/>
        <v>2.654044960413716</v>
      </c>
      <c r="FA172">
        <v>0</v>
      </c>
      <c r="FD172" s="306" t="s">
        <v>302</v>
      </c>
      <c r="FE172" s="306" t="s">
        <v>579</v>
      </c>
      <c r="FF172" s="306">
        <v>15739.680700000001</v>
      </c>
      <c r="FG172" s="306">
        <v>0.310763615277375</v>
      </c>
      <c r="FH172" s="307">
        <v>849127</v>
      </c>
      <c r="FI172" s="326">
        <f t="shared" si="82"/>
        <v>1005.2072022162748</v>
      </c>
      <c r="FJ172" s="326">
        <f t="shared" si="83"/>
        <v>2.654044960413716</v>
      </c>
      <c r="FL172" s="101"/>
      <c r="FM172" s="101"/>
      <c r="FN172" s="101"/>
      <c r="FO172" s="101"/>
      <c r="FP172" s="374"/>
      <c r="FQ172" s="405"/>
      <c r="FR172" s="405"/>
    </row>
    <row r="173" spans="142:174">
      <c r="EL173" s="306" t="s">
        <v>302</v>
      </c>
      <c r="EM173" s="306" t="s">
        <v>579</v>
      </c>
      <c r="EN173" s="306">
        <v>15739.680700000001</v>
      </c>
      <c r="EO173" s="306">
        <v>0.310763615277375</v>
      </c>
      <c r="EP173" s="308">
        <v>849127</v>
      </c>
      <c r="EQ173" s="308">
        <f t="shared" si="95"/>
        <v>20.677588964709223</v>
      </c>
      <c r="ER173" s="308">
        <f t="shared" si="96"/>
        <v>5.4594963768957623E-2</v>
      </c>
      <c r="ET173" s="420" t="s">
        <v>302</v>
      </c>
      <c r="EU173" s="420" t="s">
        <v>580</v>
      </c>
      <c r="EV173" s="420">
        <v>34908.721899999997</v>
      </c>
      <c r="EW173" s="420">
        <v>0.68923638472262494</v>
      </c>
      <c r="EX173" s="421">
        <v>849128</v>
      </c>
      <c r="EY173" s="423">
        <f t="shared" si="92"/>
        <v>20.088277679215011</v>
      </c>
      <c r="EZ173" s="423">
        <f t="shared" si="81"/>
        <v>5.3039007301542332E-2</v>
      </c>
      <c r="FA173">
        <v>0</v>
      </c>
      <c r="FD173" s="306" t="s">
        <v>302</v>
      </c>
      <c r="FE173" s="306" t="s">
        <v>580</v>
      </c>
      <c r="FF173" s="306">
        <v>34908.721899999997</v>
      </c>
      <c r="FG173" s="306">
        <v>0.68923638472262494</v>
      </c>
      <c r="FH173" s="307">
        <v>849128</v>
      </c>
      <c r="FI173" s="326">
        <f t="shared" si="82"/>
        <v>20.088277679215011</v>
      </c>
      <c r="FJ173" s="326">
        <f t="shared" si="83"/>
        <v>5.3039007301542332E-2</v>
      </c>
      <c r="FL173" s="101"/>
      <c r="FM173" s="101"/>
      <c r="FN173" s="101"/>
      <c r="FO173" s="101"/>
      <c r="FP173" s="374"/>
      <c r="FQ173" s="405"/>
      <c r="FR173" s="405"/>
    </row>
    <row r="174" spans="142:174">
      <c r="EL174" s="306" t="s">
        <v>302</v>
      </c>
      <c r="EM174" s="306" t="s">
        <v>580</v>
      </c>
      <c r="EN174" s="306">
        <v>34908.721899999997</v>
      </c>
      <c r="EO174" s="306">
        <v>0.68923638472262494</v>
      </c>
      <c r="EP174" s="308">
        <v>849128</v>
      </c>
      <c r="EQ174" s="308">
        <f t="shared" si="95"/>
        <v>45.860409527338319</v>
      </c>
      <c r="ER174" s="308">
        <f t="shared" si="96"/>
        <v>0.12108507432117842</v>
      </c>
      <c r="ET174" s="420" t="s">
        <v>303</v>
      </c>
      <c r="EU174" s="420" t="s">
        <v>582</v>
      </c>
      <c r="EV174" s="420">
        <v>4662.5794999999998</v>
      </c>
      <c r="EW174" s="420">
        <v>1</v>
      </c>
      <c r="EX174" s="421">
        <v>849129</v>
      </c>
      <c r="EY174" s="423">
        <f t="shared" si="92"/>
        <v>44.553387855809177</v>
      </c>
      <c r="EZ174" s="423">
        <f t="shared" si="81"/>
        <v>0.11763414970302484</v>
      </c>
      <c r="FA174">
        <v>0</v>
      </c>
      <c r="FD174" s="306" t="s">
        <v>303</v>
      </c>
      <c r="FE174" s="306" t="s">
        <v>582</v>
      </c>
      <c r="FF174" s="306">
        <v>4662.5794999999998</v>
      </c>
      <c r="FG174" s="306">
        <v>1</v>
      </c>
      <c r="FH174" s="307">
        <v>849129</v>
      </c>
      <c r="FI174" s="326">
        <f t="shared" si="82"/>
        <v>44.553387855809177</v>
      </c>
      <c r="FJ174" s="326">
        <f t="shared" si="83"/>
        <v>0.11763414970302484</v>
      </c>
      <c r="FL174" s="101"/>
      <c r="FM174" s="101"/>
      <c r="FN174" s="101"/>
      <c r="FO174" s="101"/>
      <c r="FP174" s="374"/>
      <c r="FQ174" s="405"/>
      <c r="FR174" s="405"/>
    </row>
    <row r="175" spans="142:174">
      <c r="EL175" s="306" t="s">
        <v>303</v>
      </c>
      <c r="EM175" s="306" t="s">
        <v>582</v>
      </c>
      <c r="EN175" s="306">
        <v>4662.5794999999998</v>
      </c>
      <c r="EO175" s="306">
        <v>1</v>
      </c>
      <c r="EP175" s="308">
        <v>849129</v>
      </c>
      <c r="EQ175" s="308">
        <f t="shared" si="95"/>
        <v>117.75091861420657</v>
      </c>
      <c r="ER175" s="308">
        <f t="shared" si="96"/>
        <v>0.31089732688254396</v>
      </c>
      <c r="ET175" s="420" t="s">
        <v>304</v>
      </c>
      <c r="EU175" s="420" t="s">
        <v>584</v>
      </c>
      <c r="EV175" s="420">
        <v>1500.06</v>
      </c>
      <c r="EW175" s="420">
        <v>0.43611638887745335</v>
      </c>
      <c r="EX175" s="421">
        <v>849130</v>
      </c>
      <c r="EY175" s="423">
        <f t="shared" si="92"/>
        <v>114.39501743370168</v>
      </c>
      <c r="EZ175" s="423">
        <f t="shared" si="81"/>
        <v>0.30203675306639144</v>
      </c>
      <c r="FA175">
        <v>0</v>
      </c>
      <c r="FD175" s="306" t="s">
        <v>304</v>
      </c>
      <c r="FE175" s="306" t="s">
        <v>584</v>
      </c>
      <c r="FF175" s="306">
        <v>1500.06</v>
      </c>
      <c r="FG175" s="306">
        <v>0.43611638887745335</v>
      </c>
      <c r="FH175" s="307">
        <v>849130</v>
      </c>
      <c r="FI175" s="326">
        <f t="shared" si="82"/>
        <v>114.39501743370168</v>
      </c>
      <c r="FJ175" s="326">
        <f t="shared" si="83"/>
        <v>0.30203675306639144</v>
      </c>
      <c r="FL175" s="101"/>
      <c r="FM175" s="101"/>
      <c r="FN175" s="101"/>
      <c r="FO175" s="101"/>
      <c r="FP175" s="374"/>
      <c r="FQ175" s="405"/>
      <c r="FR175" s="405"/>
    </row>
    <row r="176" spans="142:174">
      <c r="EL176" s="306" t="s">
        <v>304</v>
      </c>
      <c r="EM176" s="306" t="s">
        <v>584</v>
      </c>
      <c r="EN176" s="306">
        <v>1500.06</v>
      </c>
      <c r="EO176" s="306">
        <v>0.43611638887745335</v>
      </c>
      <c r="EP176" s="308">
        <v>849130</v>
      </c>
      <c r="EQ176" s="308">
        <f t="shared" si="95"/>
        <v>4.7376835306914638</v>
      </c>
      <c r="ER176" s="308">
        <f t="shared" si="96"/>
        <v>1.2508888785260994E-2</v>
      </c>
      <c r="ET176" s="420" t="s">
        <v>304</v>
      </c>
      <c r="EU176" s="420" t="s">
        <v>393</v>
      </c>
      <c r="EV176" s="420">
        <v>1939.5264</v>
      </c>
      <c r="EW176" s="420">
        <v>0.56388361112254659</v>
      </c>
      <c r="EX176" s="421">
        <v>849131</v>
      </c>
      <c r="EY176" s="423">
        <f t="shared" si="92"/>
        <v>4.6026595500667575</v>
      </c>
      <c r="EZ176" s="423">
        <f t="shared" si="81"/>
        <v>1.2152385454881056E-2</v>
      </c>
      <c r="FA176">
        <v>0</v>
      </c>
      <c r="FD176" s="306" t="s">
        <v>304</v>
      </c>
      <c r="FE176" s="306" t="s">
        <v>393</v>
      </c>
      <c r="FF176" s="306">
        <v>1939.5264</v>
      </c>
      <c r="FG176" s="306">
        <v>0.56388361112254659</v>
      </c>
      <c r="FH176" s="307">
        <v>849131</v>
      </c>
      <c r="FI176" s="326">
        <f t="shared" si="82"/>
        <v>4.6026595500667575</v>
      </c>
      <c r="FJ176" s="326">
        <f t="shared" si="83"/>
        <v>1.2152385454881056E-2</v>
      </c>
      <c r="FL176" s="101"/>
      <c r="FM176" s="101"/>
      <c r="FN176" s="101"/>
      <c r="FO176" s="101"/>
      <c r="FP176" s="374"/>
      <c r="FQ176" s="405"/>
      <c r="FR176" s="405"/>
    </row>
    <row r="177" spans="142:174">
      <c r="EL177" s="306" t="s">
        <v>304</v>
      </c>
      <c r="EM177" s="306" t="s">
        <v>393</v>
      </c>
      <c r="EN177" s="306">
        <v>1939.5264</v>
      </c>
      <c r="EO177" s="306">
        <v>0.56388361112254659</v>
      </c>
      <c r="EP177" s="308">
        <v>849131</v>
      </c>
      <c r="EQ177" s="308">
        <f t="shared" si="95"/>
        <v>6.1256631618877275</v>
      </c>
      <c r="ER177" s="308">
        <f t="shared" si="96"/>
        <v>1.6173566413128563E-2</v>
      </c>
      <c r="ET177" s="420" t="s">
        <v>305</v>
      </c>
      <c r="EU177" s="420" t="s">
        <v>679</v>
      </c>
      <c r="EV177" s="420">
        <v>2026.3647000000001</v>
      </c>
      <c r="EW177" s="420">
        <v>1</v>
      </c>
      <c r="EX177" s="421">
        <v>849132</v>
      </c>
      <c r="EY177" s="423">
        <f t="shared" si="92"/>
        <v>5.9510817617739278</v>
      </c>
      <c r="EZ177" s="423">
        <f t="shared" si="81"/>
        <v>1.5712619770354399E-2</v>
      </c>
      <c r="FA177">
        <v>0</v>
      </c>
      <c r="FD177" s="306" t="s">
        <v>305</v>
      </c>
      <c r="FE177" s="306" t="s">
        <v>679</v>
      </c>
      <c r="FF177" s="306">
        <v>2026.3647000000001</v>
      </c>
      <c r="FG177" s="306">
        <v>1</v>
      </c>
      <c r="FH177" s="307">
        <v>849132</v>
      </c>
      <c r="FI177" s="326">
        <f t="shared" si="82"/>
        <v>5.9510817617739278</v>
      </c>
      <c r="FJ177" s="326">
        <f t="shared" si="83"/>
        <v>1.5712619770354399E-2</v>
      </c>
      <c r="FL177" s="101"/>
      <c r="FM177" s="101"/>
      <c r="FN177" s="101"/>
      <c r="FO177" s="101"/>
      <c r="FP177" s="374"/>
      <c r="FQ177" s="405"/>
      <c r="FR177" s="405"/>
    </row>
    <row r="178" spans="142:174">
      <c r="EL178" s="306" t="s">
        <v>305</v>
      </c>
      <c r="EM178" s="306" t="s">
        <v>679</v>
      </c>
      <c r="EN178" s="306">
        <v>2026.3647000000001</v>
      </c>
      <c r="EO178" s="306">
        <v>1</v>
      </c>
      <c r="EP178" s="308">
        <v>849132</v>
      </c>
      <c r="EQ178" s="308">
        <f t="shared" si="95"/>
        <v>33.55998174671786</v>
      </c>
      <c r="ER178" s="308">
        <f t="shared" si="96"/>
        <v>8.8608299095024878E-2</v>
      </c>
      <c r="ET178" s="420" t="s">
        <v>47</v>
      </c>
      <c r="EU178" s="420" t="s">
        <v>680</v>
      </c>
      <c r="EV178" s="420">
        <v>41993.0622</v>
      </c>
      <c r="EW178" s="420">
        <v>0.3967757985704885</v>
      </c>
      <c r="EX178" s="421">
        <v>849133</v>
      </c>
      <c r="EY178" s="423">
        <f t="shared" si="92"/>
        <v>32.603522266936402</v>
      </c>
      <c r="EZ178" s="423">
        <f t="shared" si="81"/>
        <v>8.6082962570816671E-2</v>
      </c>
      <c r="FA178">
        <v>0</v>
      </c>
      <c r="FD178" s="306" t="s">
        <v>47</v>
      </c>
      <c r="FE178" s="306" t="s">
        <v>680</v>
      </c>
      <c r="FF178" s="306">
        <v>41993.0622</v>
      </c>
      <c r="FG178" s="306">
        <v>0.3967757985704885</v>
      </c>
      <c r="FH178" s="307">
        <v>849133</v>
      </c>
      <c r="FI178" s="326">
        <f t="shared" si="82"/>
        <v>32.603522266936402</v>
      </c>
      <c r="FJ178" s="326">
        <f t="shared" si="83"/>
        <v>8.6082962570816671E-2</v>
      </c>
      <c r="FL178" s="101"/>
      <c r="FM178" s="101"/>
      <c r="FN178" s="101"/>
      <c r="FO178" s="101"/>
      <c r="FP178" s="374"/>
      <c r="FQ178" s="405"/>
      <c r="FR178" s="405"/>
    </row>
    <row r="179" spans="142:174">
      <c r="EL179" s="306" t="s">
        <v>47</v>
      </c>
      <c r="EM179" s="306" t="s">
        <v>680</v>
      </c>
      <c r="EN179" s="306">
        <v>41993.0622</v>
      </c>
      <c r="EO179" s="306">
        <v>0.3967757985704885</v>
      </c>
      <c r="EP179" s="308">
        <v>849133</v>
      </c>
      <c r="EQ179" s="308">
        <f t="shared" si="95"/>
        <v>1153.7014721927267</v>
      </c>
      <c r="ER179" s="308">
        <f t="shared" si="96"/>
        <v>3.0461138473182103</v>
      </c>
      <c r="ET179" s="420" t="s">
        <v>47</v>
      </c>
      <c r="EU179" s="420" t="s">
        <v>398</v>
      </c>
      <c r="EV179" s="420">
        <v>63842.682699999998</v>
      </c>
      <c r="EW179" s="420">
        <v>0.60322420142951161</v>
      </c>
      <c r="EX179" s="421">
        <v>849134</v>
      </c>
      <c r="EY179" s="423">
        <f t="shared" si="92"/>
        <v>1120.8209802352339</v>
      </c>
      <c r="EZ179" s="423">
        <f t="shared" si="81"/>
        <v>2.9592996026696414</v>
      </c>
      <c r="FA179">
        <v>0</v>
      </c>
      <c r="FD179" s="306" t="s">
        <v>47</v>
      </c>
      <c r="FE179" s="306" t="s">
        <v>398</v>
      </c>
      <c r="FF179" s="306">
        <v>63842.682699999998</v>
      </c>
      <c r="FG179" s="306">
        <v>0.60322420142951161</v>
      </c>
      <c r="FH179" s="307">
        <v>849134</v>
      </c>
      <c r="FI179" s="326">
        <f t="shared" si="82"/>
        <v>1120.8209802352339</v>
      </c>
      <c r="FJ179" s="326">
        <f t="shared" si="83"/>
        <v>2.9592996026696414</v>
      </c>
      <c r="FL179" s="101"/>
      <c r="FM179" s="101"/>
      <c r="FN179" s="101"/>
      <c r="FO179" s="101"/>
      <c r="FP179" s="374"/>
      <c r="FQ179" s="405"/>
      <c r="FR179" s="405"/>
    </row>
    <row r="180" spans="142:174">
      <c r="EL180" s="306" t="s">
        <v>47</v>
      </c>
      <c r="EM180" s="306" t="s">
        <v>398</v>
      </c>
      <c r="EN180" s="306">
        <v>63842.682699999998</v>
      </c>
      <c r="EO180" s="306">
        <v>0.60322420142951161</v>
      </c>
      <c r="EP180" s="308">
        <v>849134</v>
      </c>
      <c r="EQ180" s="308">
        <f t="shared" si="95"/>
        <v>1753.9896630763717</v>
      </c>
      <c r="ER180" s="308">
        <f t="shared" si="96"/>
        <v>4.6310525985507374</v>
      </c>
      <c r="EY180" s="431">
        <f>EY181-VLOOKUP($EV$181,장항공공주택지구_통행량제외분!$J$12:$P$18,3,FALSE)</f>
        <v>10111.524210286349</v>
      </c>
      <c r="EZ180" s="431">
        <f>EZ181-VLOOKUP($EV$138,장항공공주택지구_통행량제외분!$J$12:$P$18,5,FALSE)</f>
        <v>30.119602294600938</v>
      </c>
      <c r="FI180" s="310">
        <f>SUM(FI146:FI179)</f>
        <v>16391.647870672481</v>
      </c>
      <c r="FJ180" s="310">
        <f>SUM(FJ146:FJ179)</f>
        <v>43.288421183028703</v>
      </c>
      <c r="FP180" s="277"/>
      <c r="FQ180" s="310"/>
      <c r="FR180" s="310"/>
    </row>
    <row r="181" spans="142:174">
      <c r="EQ181" s="310">
        <f>SUM(EQ146:EQ180)</f>
        <v>18626.504197994003</v>
      </c>
      <c r="ER181" s="310">
        <f>SUM(ER146:ER180)</f>
        <v>49.189386291838133</v>
      </c>
      <c r="EV181" s="432">
        <f>기준년도설정!B1</f>
        <v>2035</v>
      </c>
      <c r="EY181" s="310">
        <f>SUM(EY146:EY179)</f>
        <v>16391.647870672481</v>
      </c>
      <c r="EZ181" s="310">
        <f>SUM(EZ146:EZ179)</f>
        <v>43.288421183028703</v>
      </c>
      <c r="FH181" s="277"/>
    </row>
    <row r="182" spans="142:174">
      <c r="FA182" s="277"/>
    </row>
    <row r="183" spans="142:174">
      <c r="FA183" s="277"/>
    </row>
    <row r="184" spans="142:174">
      <c r="FA184" s="277"/>
    </row>
    <row r="185" spans="142:174">
      <c r="FA185" s="277"/>
    </row>
    <row r="186" spans="142:174">
      <c r="FA186" s="277"/>
    </row>
    <row r="187" spans="142:174">
      <c r="FA187" s="277"/>
    </row>
    <row r="188" spans="142:174">
      <c r="FA188" s="277"/>
    </row>
  </sheetData>
  <mergeCells count="150">
    <mergeCell ref="A10:B10"/>
    <mergeCell ref="A11:A12"/>
    <mergeCell ref="A17:E18"/>
    <mergeCell ref="F17:H17"/>
    <mergeCell ref="L17:L18"/>
    <mergeCell ref="O17:O21"/>
    <mergeCell ref="AY18:AZ19"/>
    <mergeCell ref="A19:A36"/>
    <mergeCell ref="B19:E19"/>
    <mergeCell ref="P19:S19"/>
    <mergeCell ref="T19:U19"/>
    <mergeCell ref="X19:AA19"/>
    <mergeCell ref="AB19:AC19"/>
    <mergeCell ref="AK19:AN19"/>
    <mergeCell ref="P17:W17"/>
    <mergeCell ref="X17:AE17"/>
    <mergeCell ref="AJ17:AJ21"/>
    <mergeCell ref="AK17:AR17"/>
    <mergeCell ref="AS17:AZ17"/>
    <mergeCell ref="P18:U18"/>
    <mergeCell ref="V18:W19"/>
    <mergeCell ref="X18:AC18"/>
    <mergeCell ref="AD18:AE19"/>
    <mergeCell ref="AK18:AP18"/>
    <mergeCell ref="AO19:AP19"/>
    <mergeCell ref="AS19:AV19"/>
    <mergeCell ref="AW19:AX19"/>
    <mergeCell ref="C20:E20"/>
    <mergeCell ref="S20:S21"/>
    <mergeCell ref="T20:T21"/>
    <mergeCell ref="U20:U21"/>
    <mergeCell ref="V20:V21"/>
    <mergeCell ref="W20:W21"/>
    <mergeCell ref="AA20:AA21"/>
    <mergeCell ref="AQ18:AR19"/>
    <mergeCell ref="AS18:AX18"/>
    <mergeCell ref="C30:E30"/>
    <mergeCell ref="C31:E31"/>
    <mergeCell ref="C32:E32"/>
    <mergeCell ref="C33:E33"/>
    <mergeCell ref="C34:E34"/>
    <mergeCell ref="C35:E35"/>
    <mergeCell ref="AY20:AY21"/>
    <mergeCell ref="AZ20:AZ21"/>
    <mergeCell ref="D21:E21"/>
    <mergeCell ref="D22:E22"/>
    <mergeCell ref="D23:E23"/>
    <mergeCell ref="D24:D26"/>
    <mergeCell ref="AP20:AP21"/>
    <mergeCell ref="AQ20:AQ21"/>
    <mergeCell ref="AR20:AR21"/>
    <mergeCell ref="AV20:AV21"/>
    <mergeCell ref="AW20:AW21"/>
    <mergeCell ref="AX20:AX21"/>
    <mergeCell ref="AB20:AB21"/>
    <mergeCell ref="AC20:AC21"/>
    <mergeCell ref="AD20:AD21"/>
    <mergeCell ref="AE20:AE21"/>
    <mergeCell ref="AN20:AN21"/>
    <mergeCell ref="AO20:AO21"/>
    <mergeCell ref="AC35:AG35"/>
    <mergeCell ref="C36:E36"/>
    <mergeCell ref="AC36:AC43"/>
    <mergeCell ref="A37:A54"/>
    <mergeCell ref="B37:E37"/>
    <mergeCell ref="C38:E38"/>
    <mergeCell ref="D39:E39"/>
    <mergeCell ref="AF39:AG39"/>
    <mergeCell ref="D40:E40"/>
    <mergeCell ref="AF40:AG40"/>
    <mergeCell ref="D41:E41"/>
    <mergeCell ref="AF41:AG41"/>
    <mergeCell ref="D42:D44"/>
    <mergeCell ref="AD42:AE43"/>
    <mergeCell ref="AF42:AG42"/>
    <mergeCell ref="AF43:AG43"/>
    <mergeCell ref="AC44:AC51"/>
    <mergeCell ref="AF47:AG47"/>
    <mergeCell ref="C48:E48"/>
    <mergeCell ref="AF48:AG48"/>
    <mergeCell ref="C52:E52"/>
    <mergeCell ref="C53:E53"/>
    <mergeCell ref="C54:E54"/>
    <mergeCell ref="A59:E60"/>
    <mergeCell ref="C49:E49"/>
    <mergeCell ref="AF49:AG49"/>
    <mergeCell ref="C50:E50"/>
    <mergeCell ref="AD50:AE51"/>
    <mergeCell ref="AF50:AG50"/>
    <mergeCell ref="C51:E51"/>
    <mergeCell ref="AF51:AG51"/>
    <mergeCell ref="F59:H59"/>
    <mergeCell ref="L59:L60"/>
    <mergeCell ref="A77:E78"/>
    <mergeCell ref="C72:E72"/>
    <mergeCell ref="C70:E70"/>
    <mergeCell ref="C71:E71"/>
    <mergeCell ref="C68:E68"/>
    <mergeCell ref="C69:E69"/>
    <mergeCell ref="C66:E66"/>
    <mergeCell ref="C67:E67"/>
    <mergeCell ref="D61:E61"/>
    <mergeCell ref="D62:D63"/>
    <mergeCell ref="C86:E86"/>
    <mergeCell ref="C87:E87"/>
    <mergeCell ref="C84:E84"/>
    <mergeCell ref="C85:E85"/>
    <mergeCell ref="C90:E90"/>
    <mergeCell ref="C88:E88"/>
    <mergeCell ref="C89:E89"/>
    <mergeCell ref="D79:E79"/>
    <mergeCell ref="D80:D81"/>
    <mergeCell ref="F77:H77"/>
    <mergeCell ref="L77:L78"/>
    <mergeCell ref="Q59:U60"/>
    <mergeCell ref="V59:X59"/>
    <mergeCell ref="AB59:AB60"/>
    <mergeCell ref="Q77:U78"/>
    <mergeCell ref="V77:X77"/>
    <mergeCell ref="AB77:AB78"/>
    <mergeCell ref="DJ101:DM101"/>
    <mergeCell ref="BC101:BP101"/>
    <mergeCell ref="BQ101:CD101"/>
    <mergeCell ref="CE101:CR101"/>
    <mergeCell ref="CX101:DA101"/>
    <mergeCell ref="DB101:DE101"/>
    <mergeCell ref="DF101:DI101"/>
    <mergeCell ref="EP158:EP159"/>
    <mergeCell ref="ED144:EE144"/>
    <mergeCell ref="DY144:DZ144"/>
    <mergeCell ref="DR144:DU144"/>
    <mergeCell ref="DN144:DQ144"/>
    <mergeCell ref="DJ144:DM144"/>
    <mergeCell ref="DF144:DI144"/>
    <mergeCell ref="DB144:DE144"/>
    <mergeCell ref="CX144:DA144"/>
    <mergeCell ref="CE144:CR144"/>
    <mergeCell ref="BQ144:CD144"/>
    <mergeCell ref="BC144:BP144"/>
    <mergeCell ref="AO144:BB144"/>
    <mergeCell ref="AA144:AN144"/>
    <mergeCell ref="M144:Z144"/>
    <mergeCell ref="EP115:EP116"/>
    <mergeCell ref="AO101:BB101"/>
    <mergeCell ref="AA101:AN101"/>
    <mergeCell ref="M101:Z101"/>
    <mergeCell ref="DN101:DQ101"/>
    <mergeCell ref="DR101:DU101"/>
    <mergeCell ref="DY101:DZ101"/>
    <mergeCell ref="ED101:EE10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K190"/>
  <sheetViews>
    <sheetView topLeftCell="DR64" zoomScale="85" zoomScaleNormal="85" workbookViewId="0">
      <selection activeCell="EW85" sqref="EW85"/>
    </sheetView>
  </sheetViews>
  <sheetFormatPr defaultRowHeight="17"/>
  <cols>
    <col min="1" max="1" width="9.5" bestFit="1" customWidth="1"/>
    <col min="3" max="4" width="11.1640625" bestFit="1" customWidth="1"/>
    <col min="13" max="13" width="9.25" bestFit="1" customWidth="1"/>
    <col min="20" max="20" width="11.5" customWidth="1"/>
    <col min="25" max="25" width="13" bestFit="1" customWidth="1"/>
    <col min="40" max="40" width="13" bestFit="1" customWidth="1"/>
    <col min="132" max="132" width="18.33203125" bestFit="1" customWidth="1"/>
    <col min="147" max="147" width="12.08203125" bestFit="1" customWidth="1"/>
    <col min="148" max="148" width="10.6640625" bestFit="1" customWidth="1"/>
  </cols>
  <sheetData>
    <row r="1" spans="1:105">
      <c r="A1" t="s">
        <v>154</v>
      </c>
    </row>
    <row r="2" spans="1:105" ht="20.5">
      <c r="A2" t="s">
        <v>153</v>
      </c>
      <c r="B2" t="s">
        <v>847</v>
      </c>
      <c r="Y2" t="s">
        <v>685</v>
      </c>
      <c r="CS2" s="364" t="s">
        <v>773</v>
      </c>
      <c r="DA2" s="364" t="s">
        <v>773</v>
      </c>
    </row>
    <row r="3" spans="1:105" ht="30">
      <c r="Y3" s="254">
        <v>2024</v>
      </c>
      <c r="AN3" s="254">
        <v>2028</v>
      </c>
      <c r="CQ3" s="364" t="s">
        <v>780</v>
      </c>
      <c r="CS3" t="s">
        <v>772</v>
      </c>
    </row>
    <row r="4" spans="1:105">
      <c r="B4" t="s">
        <v>192</v>
      </c>
      <c r="G4" t="s">
        <v>194</v>
      </c>
      <c r="AA4" s="562" t="s">
        <v>165</v>
      </c>
      <c r="AB4" s="563"/>
      <c r="AC4" s="563"/>
      <c r="AD4" s="563"/>
      <c r="AE4" s="563"/>
      <c r="AF4" s="564"/>
      <c r="AG4" s="565" t="s">
        <v>166</v>
      </c>
      <c r="AH4" s="566"/>
      <c r="AP4" s="562" t="s">
        <v>165</v>
      </c>
      <c r="AQ4" s="563"/>
      <c r="AR4" s="563"/>
      <c r="AS4" s="563"/>
      <c r="AT4" s="563"/>
      <c r="AU4" s="564"/>
      <c r="AV4" s="565" t="s">
        <v>166</v>
      </c>
      <c r="AW4" s="566"/>
      <c r="CQ4" t="s">
        <v>779</v>
      </c>
      <c r="CS4" t="s">
        <v>776</v>
      </c>
      <c r="DA4" s="32" t="s">
        <v>777</v>
      </c>
    </row>
    <row r="5" spans="1:105" ht="17.5" thickBot="1">
      <c r="B5" t="s">
        <v>172</v>
      </c>
      <c r="G5" t="s">
        <v>193</v>
      </c>
      <c r="AA5" s="562" t="s">
        <v>44</v>
      </c>
      <c r="AB5" s="564"/>
      <c r="AC5" s="562" t="s">
        <v>45</v>
      </c>
      <c r="AD5" s="564"/>
      <c r="AE5" s="562" t="s">
        <v>46</v>
      </c>
      <c r="AF5" s="564"/>
      <c r="AG5" s="567"/>
      <c r="AH5" s="568"/>
      <c r="AI5" s="534"/>
      <c r="AJ5" s="534"/>
      <c r="AK5" s="534"/>
      <c r="AP5" s="562" t="s">
        <v>44</v>
      </c>
      <c r="AQ5" s="564"/>
      <c r="AR5" s="562" t="s">
        <v>45</v>
      </c>
      <c r="AS5" s="564"/>
      <c r="AT5" s="562" t="s">
        <v>46</v>
      </c>
      <c r="AU5" s="564"/>
      <c r="AV5" s="567"/>
      <c r="AW5" s="568"/>
      <c r="AX5" s="534"/>
      <c r="AY5" s="534"/>
      <c r="AZ5" s="534"/>
      <c r="CP5" t="s">
        <v>781</v>
      </c>
      <c r="CQ5" t="s">
        <v>775</v>
      </c>
      <c r="CS5" s="98"/>
      <c r="CT5" s="98" t="s">
        <v>763</v>
      </c>
      <c r="CU5" s="98" t="s">
        <v>764</v>
      </c>
      <c r="CV5" s="363" t="s">
        <v>765</v>
      </c>
      <c r="CW5" s="306" t="s">
        <v>766</v>
      </c>
      <c r="CX5" s="98" t="s">
        <v>767</v>
      </c>
      <c r="CY5" s="98" t="s">
        <v>768</v>
      </c>
      <c r="DA5" s="368">
        <v>2.8500000000000001E-2</v>
      </c>
    </row>
    <row r="6" spans="1:105" ht="18" customHeight="1" thickTop="1" thickBot="1">
      <c r="B6" s="543" t="s">
        <v>39</v>
      </c>
      <c r="C6" s="544"/>
      <c r="D6" s="547" t="s">
        <v>163</v>
      </c>
      <c r="E6" s="548"/>
      <c r="G6" s="32" t="s">
        <v>189</v>
      </c>
      <c r="Y6" t="s">
        <v>34</v>
      </c>
      <c r="Z6" t="s">
        <v>148</v>
      </c>
      <c r="AA6" s="53" t="s">
        <v>40</v>
      </c>
      <c r="AB6" s="53" t="s">
        <v>41</v>
      </c>
      <c r="AC6" s="53" t="s">
        <v>40</v>
      </c>
      <c r="AD6" s="54" t="s">
        <v>41</v>
      </c>
      <c r="AE6" s="53" t="s">
        <v>40</v>
      </c>
      <c r="AF6" s="53" t="s">
        <v>41</v>
      </c>
      <c r="AG6" s="53" t="s">
        <v>40</v>
      </c>
      <c r="AH6" s="54" t="s">
        <v>41</v>
      </c>
      <c r="AI6" s="315"/>
      <c r="AJ6" s="315"/>
      <c r="AK6" s="315"/>
      <c r="AN6" t="s">
        <v>34</v>
      </c>
      <c r="AO6" t="s">
        <v>148</v>
      </c>
      <c r="AP6" s="53" t="s">
        <v>40</v>
      </c>
      <c r="AQ6" s="53" t="s">
        <v>41</v>
      </c>
      <c r="AR6" s="53" t="s">
        <v>40</v>
      </c>
      <c r="AS6" s="54" t="s">
        <v>41</v>
      </c>
      <c r="AT6" s="53" t="s">
        <v>40</v>
      </c>
      <c r="AU6" s="53" t="s">
        <v>41</v>
      </c>
      <c r="AV6" s="53" t="s">
        <v>40</v>
      </c>
      <c r="AW6" s="54" t="s">
        <v>41</v>
      </c>
      <c r="AX6" s="315"/>
      <c r="AY6" s="315"/>
      <c r="AZ6" s="315"/>
      <c r="CP6" s="97">
        <f>K41</f>
        <v>16168.012009404203</v>
      </c>
      <c r="CQ6">
        <v>2023</v>
      </c>
      <c r="CS6" s="98"/>
      <c r="CT6" s="98"/>
      <c r="CU6" s="369">
        <v>0</v>
      </c>
      <c r="CV6" s="371">
        <v>1</v>
      </c>
      <c r="CW6" s="370">
        <v>2</v>
      </c>
      <c r="CX6" s="369">
        <v>3</v>
      </c>
      <c r="CY6" s="369">
        <v>4</v>
      </c>
    </row>
    <row r="7" spans="1:105" ht="18" thickTop="1" thickBot="1">
      <c r="B7" s="545"/>
      <c r="C7" s="546"/>
      <c r="D7" s="36" t="s">
        <v>156</v>
      </c>
      <c r="E7" s="37" t="s">
        <v>157</v>
      </c>
      <c r="H7" t="s">
        <v>191</v>
      </c>
      <c r="Y7" t="s">
        <v>197</v>
      </c>
      <c r="Z7" t="s">
        <v>198</v>
      </c>
      <c r="AA7" s="17">
        <v>1081</v>
      </c>
      <c r="AB7" s="17">
        <v>1081</v>
      </c>
      <c r="AC7" s="16">
        <v>423</v>
      </c>
      <c r="AD7" s="55">
        <v>423</v>
      </c>
      <c r="AE7" s="16">
        <v>981</v>
      </c>
      <c r="AF7" s="16">
        <v>981</v>
      </c>
      <c r="AG7" s="17">
        <v>1034</v>
      </c>
      <c r="AH7" s="43">
        <v>1034</v>
      </c>
      <c r="AI7" s="71"/>
      <c r="AJ7" s="71"/>
      <c r="AK7" s="71"/>
      <c r="AN7" t="s">
        <v>197</v>
      </c>
      <c r="AO7" t="s">
        <v>198</v>
      </c>
      <c r="AP7" s="17">
        <v>1081</v>
      </c>
      <c r="AQ7" s="17">
        <v>1081</v>
      </c>
      <c r="AR7" s="16">
        <v>423</v>
      </c>
      <c r="AS7" s="55">
        <v>423</v>
      </c>
      <c r="AT7" s="16">
        <v>981</v>
      </c>
      <c r="AU7" s="16">
        <v>981</v>
      </c>
      <c r="AV7" s="17">
        <v>1036</v>
      </c>
      <c r="AW7" s="43">
        <v>1036</v>
      </c>
      <c r="AX7" s="71"/>
      <c r="AY7" s="71"/>
      <c r="AZ7" s="71"/>
      <c r="CS7" s="98" t="s">
        <v>769</v>
      </c>
      <c r="CT7" s="98">
        <v>100000</v>
      </c>
      <c r="CU7" s="365">
        <v>0.3</v>
      </c>
      <c r="CV7" s="372">
        <v>0.7</v>
      </c>
      <c r="CW7" s="366">
        <v>0.85</v>
      </c>
      <c r="CX7" s="365">
        <v>0.95</v>
      </c>
      <c r="CY7" s="365">
        <v>1</v>
      </c>
    </row>
    <row r="8" spans="1:105" ht="18" thickTop="1" thickBot="1">
      <c r="B8" s="549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  <c r="Y8" s="56" t="s">
        <v>197</v>
      </c>
      <c r="Z8" s="20" t="s">
        <v>199</v>
      </c>
      <c r="AA8" s="17">
        <v>1075</v>
      </c>
      <c r="AB8" s="17">
        <v>1075</v>
      </c>
      <c r="AC8" s="16">
        <v>420</v>
      </c>
      <c r="AD8" s="55">
        <v>420</v>
      </c>
      <c r="AE8" s="16">
        <v>975</v>
      </c>
      <c r="AF8" s="16">
        <v>975</v>
      </c>
      <c r="AG8" s="17">
        <v>1028</v>
      </c>
      <c r="AH8" s="43">
        <v>1028</v>
      </c>
      <c r="AI8" s="71"/>
      <c r="AJ8" s="71"/>
      <c r="AK8" s="71"/>
      <c r="AN8" s="56" t="s">
        <v>197</v>
      </c>
      <c r="AO8" s="20" t="s">
        <v>199</v>
      </c>
      <c r="AP8" s="17">
        <v>1075</v>
      </c>
      <c r="AQ8" s="17">
        <v>1075</v>
      </c>
      <c r="AR8" s="16">
        <v>420</v>
      </c>
      <c r="AS8" s="55">
        <v>420</v>
      </c>
      <c r="AT8" s="16">
        <v>975</v>
      </c>
      <c r="AU8" s="16">
        <v>975</v>
      </c>
      <c r="AV8" s="17">
        <v>1030</v>
      </c>
      <c r="AW8" s="43">
        <v>1030</v>
      </c>
      <c r="AX8" s="71"/>
      <c r="AY8" s="71"/>
      <c r="AZ8" s="71"/>
      <c r="CS8" s="98" t="s">
        <v>770</v>
      </c>
      <c r="CT8" s="98">
        <v>50000</v>
      </c>
      <c r="CU8" s="365">
        <v>0.5</v>
      </c>
      <c r="CV8" s="372">
        <v>0.8</v>
      </c>
      <c r="CW8" s="366">
        <v>0.9</v>
      </c>
      <c r="CX8" s="365">
        <v>1</v>
      </c>
      <c r="CY8" s="365">
        <v>1</v>
      </c>
    </row>
    <row r="9" spans="1:105" ht="18" thickTop="1" thickBot="1">
      <c r="B9" s="536"/>
      <c r="C9" s="46" t="s">
        <v>166</v>
      </c>
      <c r="D9" s="46">
        <v>1.59</v>
      </c>
      <c r="E9" s="47">
        <v>1.7</v>
      </c>
      <c r="Y9" t="s">
        <v>197</v>
      </c>
      <c r="Z9" t="s">
        <v>200</v>
      </c>
      <c r="AA9" s="16">
        <v>881</v>
      </c>
      <c r="AB9" s="16">
        <v>881</v>
      </c>
      <c r="AC9" s="16">
        <v>344</v>
      </c>
      <c r="AD9" s="55">
        <v>344</v>
      </c>
      <c r="AE9" s="16">
        <v>799</v>
      </c>
      <c r="AF9" s="16">
        <v>799</v>
      </c>
      <c r="AG9" s="16">
        <v>842</v>
      </c>
      <c r="AH9" s="55">
        <v>842</v>
      </c>
      <c r="AI9" s="71"/>
      <c r="AJ9" s="71"/>
      <c r="AK9" s="71"/>
      <c r="AN9" t="s">
        <v>197</v>
      </c>
      <c r="AO9" t="s">
        <v>200</v>
      </c>
      <c r="AP9" s="16">
        <v>881</v>
      </c>
      <c r="AQ9" s="16">
        <v>881</v>
      </c>
      <c r="AR9" s="16">
        <v>344</v>
      </c>
      <c r="AS9" s="55">
        <v>344</v>
      </c>
      <c r="AT9" s="16">
        <v>799</v>
      </c>
      <c r="AU9" s="16">
        <v>799</v>
      </c>
      <c r="AV9" s="16">
        <v>844</v>
      </c>
      <c r="AW9" s="55">
        <v>844</v>
      </c>
      <c r="AX9" s="71"/>
      <c r="AY9" s="71"/>
      <c r="AZ9" s="71"/>
      <c r="CS9" s="306" t="s">
        <v>771</v>
      </c>
      <c r="CT9" s="306">
        <v>49999</v>
      </c>
      <c r="CU9" s="366">
        <v>0.7</v>
      </c>
      <c r="CV9" s="373">
        <v>0.9</v>
      </c>
      <c r="CW9" s="367">
        <v>1</v>
      </c>
      <c r="CX9" s="366">
        <v>1</v>
      </c>
      <c r="CY9" s="366">
        <v>1</v>
      </c>
    </row>
    <row r="10" spans="1:105" ht="18" thickTop="1" thickBot="1">
      <c r="B10" s="535" t="s">
        <v>13</v>
      </c>
      <c r="C10" s="46" t="s">
        <v>9</v>
      </c>
      <c r="D10" s="46">
        <v>1.38</v>
      </c>
      <c r="E10" s="47">
        <v>1.48</v>
      </c>
      <c r="Y10" t="s">
        <v>197</v>
      </c>
      <c r="Z10" t="s">
        <v>201</v>
      </c>
      <c r="AA10" s="16">
        <v>898</v>
      </c>
      <c r="AB10" s="16">
        <v>898</v>
      </c>
      <c r="AC10" s="16">
        <v>351</v>
      </c>
      <c r="AD10" s="55">
        <v>351</v>
      </c>
      <c r="AE10" s="16">
        <v>815</v>
      </c>
      <c r="AF10" s="16">
        <v>815</v>
      </c>
      <c r="AG10" s="16">
        <v>859</v>
      </c>
      <c r="AH10" s="55">
        <v>859</v>
      </c>
      <c r="AI10" s="68"/>
      <c r="AJ10" s="68"/>
      <c r="AK10" s="68"/>
      <c r="AN10" t="s">
        <v>197</v>
      </c>
      <c r="AO10" t="s">
        <v>201</v>
      </c>
      <c r="AP10" s="16">
        <v>898</v>
      </c>
      <c r="AQ10" s="16">
        <v>898</v>
      </c>
      <c r="AR10" s="16">
        <v>351</v>
      </c>
      <c r="AS10" s="55">
        <v>351</v>
      </c>
      <c r="AT10" s="16">
        <v>815</v>
      </c>
      <c r="AU10" s="16">
        <v>815</v>
      </c>
      <c r="AV10" s="16">
        <v>861</v>
      </c>
      <c r="AW10" s="55">
        <v>861</v>
      </c>
      <c r="AX10" s="68"/>
      <c r="AY10" s="68"/>
      <c r="AZ10" s="68"/>
    </row>
    <row r="11" spans="1:105" ht="18" thickTop="1" thickBot="1">
      <c r="B11" s="536"/>
      <c r="C11" s="46" t="s">
        <v>10</v>
      </c>
      <c r="D11" s="46">
        <v>1.6</v>
      </c>
      <c r="E11" s="47">
        <v>1.56</v>
      </c>
      <c r="Y11" t="s">
        <v>135</v>
      </c>
      <c r="Z11" t="s">
        <v>12</v>
      </c>
      <c r="AA11" s="16">
        <v>112</v>
      </c>
      <c r="AB11" s="16">
        <v>112</v>
      </c>
      <c r="AC11" s="16">
        <v>44</v>
      </c>
      <c r="AD11" s="55">
        <v>44</v>
      </c>
      <c r="AE11" s="16">
        <v>100</v>
      </c>
      <c r="AF11" s="16">
        <v>100</v>
      </c>
      <c r="AG11" s="16">
        <v>106</v>
      </c>
      <c r="AH11" s="55">
        <v>106</v>
      </c>
      <c r="AI11" s="69"/>
      <c r="AJ11" s="69"/>
      <c r="AK11" s="69"/>
      <c r="AN11" t="s">
        <v>135</v>
      </c>
      <c r="AO11" t="s">
        <v>12</v>
      </c>
      <c r="AP11" s="16">
        <v>112</v>
      </c>
      <c r="AQ11" s="16">
        <v>112</v>
      </c>
      <c r="AR11" s="16">
        <v>44</v>
      </c>
      <c r="AS11" s="55">
        <v>44</v>
      </c>
      <c r="AT11" s="16">
        <v>100</v>
      </c>
      <c r="AU11" s="16">
        <v>100</v>
      </c>
      <c r="AV11" s="16">
        <v>106</v>
      </c>
      <c r="AW11" s="55">
        <v>106</v>
      </c>
      <c r="AX11" s="69"/>
      <c r="AY11" s="69"/>
      <c r="AZ11" s="69"/>
    </row>
    <row r="12" spans="1:105" ht="17.5" thickTop="1">
      <c r="B12" s="535" t="s">
        <v>167</v>
      </c>
      <c r="C12" s="46" t="s">
        <v>9</v>
      </c>
      <c r="D12" s="46">
        <v>1.25</v>
      </c>
      <c r="E12" s="47">
        <v>1.25</v>
      </c>
      <c r="AA12" s="571" t="s">
        <v>286</v>
      </c>
      <c r="AB12" s="572"/>
      <c r="AC12" s="571" t="s">
        <v>287</v>
      </c>
      <c r="AD12" s="573"/>
      <c r="AP12" s="571" t="s">
        <v>286</v>
      </c>
      <c r="AQ12" s="572"/>
      <c r="AR12" s="571" t="s">
        <v>287</v>
      </c>
      <c r="AS12" s="573"/>
    </row>
    <row r="13" spans="1:105" ht="17.5" thickBot="1">
      <c r="B13" s="536"/>
      <c r="C13" s="46" t="s">
        <v>10</v>
      </c>
      <c r="D13" s="46">
        <v>1.47</v>
      </c>
      <c r="E13" s="47">
        <v>1.73</v>
      </c>
      <c r="AA13" s="53" t="s">
        <v>40</v>
      </c>
      <c r="AB13" s="53" t="s">
        <v>41</v>
      </c>
      <c r="AC13" s="53" t="s">
        <v>40</v>
      </c>
      <c r="AD13" s="54" t="s">
        <v>41</v>
      </c>
      <c r="AP13" s="53" t="s">
        <v>40</v>
      </c>
      <c r="AQ13" s="53" t="s">
        <v>41</v>
      </c>
      <c r="AR13" s="53" t="s">
        <v>40</v>
      </c>
      <c r="AS13" s="54" t="s">
        <v>41</v>
      </c>
    </row>
    <row r="14" spans="1:105" ht="18" thickTop="1" thickBot="1">
      <c r="B14" s="535" t="s">
        <v>168</v>
      </c>
      <c r="C14" s="46" t="s">
        <v>9</v>
      </c>
      <c r="D14" s="46">
        <v>1.35</v>
      </c>
      <c r="E14" s="47">
        <v>1.4</v>
      </c>
      <c r="Y14" t="s">
        <v>136</v>
      </c>
      <c r="Z14" t="s">
        <v>13</v>
      </c>
      <c r="AA14" s="16">
        <v>345</v>
      </c>
      <c r="AB14" s="16">
        <v>345</v>
      </c>
      <c r="AC14" s="17">
        <v>3650</v>
      </c>
      <c r="AD14" s="43">
        <v>3650</v>
      </c>
      <c r="AE14" s="69"/>
      <c r="AF14" s="69"/>
      <c r="AG14" s="68"/>
      <c r="AH14" s="68"/>
      <c r="AI14" s="68"/>
      <c r="AJ14" s="68"/>
      <c r="AK14" s="68"/>
      <c r="AN14" t="s">
        <v>136</v>
      </c>
      <c r="AO14" t="s">
        <v>13</v>
      </c>
      <c r="AP14" s="16">
        <v>345</v>
      </c>
      <c r="AQ14" s="16">
        <v>345</v>
      </c>
      <c r="AR14" s="17">
        <v>3657</v>
      </c>
      <c r="AS14" s="43">
        <v>3657</v>
      </c>
      <c r="AT14" s="69"/>
      <c r="AU14" s="69"/>
      <c r="AV14" s="68"/>
      <c r="AW14" s="68"/>
      <c r="AX14" s="68"/>
      <c r="AY14" s="68"/>
      <c r="AZ14" s="68"/>
    </row>
    <row r="15" spans="1:105" ht="18" thickTop="1" thickBot="1">
      <c r="B15" s="536"/>
      <c r="C15" s="46" t="s">
        <v>10</v>
      </c>
      <c r="D15" s="46">
        <v>1.6</v>
      </c>
      <c r="E15" s="47">
        <v>1.73</v>
      </c>
      <c r="Y15" t="s">
        <v>206</v>
      </c>
      <c r="Z15" t="s">
        <v>167</v>
      </c>
      <c r="AA15" s="17">
        <v>1318</v>
      </c>
      <c r="AB15" s="17">
        <v>1318</v>
      </c>
      <c r="AC15" s="17">
        <v>8098</v>
      </c>
      <c r="AD15" s="43">
        <v>8098</v>
      </c>
      <c r="AE15" s="68"/>
      <c r="AF15" s="68"/>
      <c r="AG15" s="68"/>
      <c r="AH15" s="68"/>
      <c r="AI15" s="68"/>
      <c r="AJ15" s="68"/>
      <c r="AK15" s="68"/>
      <c r="AN15" t="s">
        <v>206</v>
      </c>
      <c r="AO15" t="s">
        <v>167</v>
      </c>
      <c r="AP15" s="17">
        <v>1318</v>
      </c>
      <c r="AQ15" s="17">
        <v>1318</v>
      </c>
      <c r="AR15" s="17">
        <v>8113</v>
      </c>
      <c r="AS15" s="43">
        <v>8113</v>
      </c>
      <c r="AT15" s="68"/>
      <c r="AU15" s="68"/>
      <c r="AV15" s="68"/>
      <c r="AW15" s="68"/>
      <c r="AX15" s="68"/>
      <c r="AY15" s="68"/>
      <c r="AZ15" s="68"/>
    </row>
    <row r="16" spans="1:105" ht="18" thickTop="1" thickBot="1">
      <c r="B16" s="535" t="s">
        <v>47</v>
      </c>
      <c r="C16" s="46" t="s">
        <v>9</v>
      </c>
      <c r="D16" s="46">
        <v>1.33</v>
      </c>
      <c r="E16" s="47">
        <v>1.55</v>
      </c>
      <c r="Y16" t="s">
        <v>207</v>
      </c>
      <c r="Z16" t="s">
        <v>168</v>
      </c>
      <c r="AA16" s="17">
        <v>4945</v>
      </c>
      <c r="AB16" s="17">
        <v>4945</v>
      </c>
      <c r="AC16" s="17">
        <v>8833</v>
      </c>
      <c r="AD16" s="43">
        <v>8833</v>
      </c>
      <c r="AE16" s="68"/>
      <c r="AF16" s="68"/>
      <c r="AG16" s="68"/>
      <c r="AH16" s="68"/>
      <c r="AI16" s="68"/>
      <c r="AJ16" s="68"/>
      <c r="AK16" s="68"/>
      <c r="AN16" t="s">
        <v>207</v>
      </c>
      <c r="AO16" t="s">
        <v>168</v>
      </c>
      <c r="AP16" s="17">
        <v>4945</v>
      </c>
      <c r="AQ16" s="17">
        <v>4945</v>
      </c>
      <c r="AR16" s="17">
        <v>8849</v>
      </c>
      <c r="AS16" s="43">
        <v>8849</v>
      </c>
      <c r="AT16" s="68"/>
      <c r="AU16" s="68"/>
      <c r="AV16" s="68"/>
      <c r="AW16" s="68"/>
      <c r="AX16" s="68"/>
      <c r="AY16" s="68"/>
      <c r="AZ16" s="68"/>
    </row>
    <row r="17" spans="1:75" ht="18" thickTop="1" thickBot="1">
      <c r="B17" s="536"/>
      <c r="C17" s="46" t="s">
        <v>10</v>
      </c>
      <c r="D17" s="46">
        <v>1.43</v>
      </c>
      <c r="E17" s="47">
        <v>1.54</v>
      </c>
      <c r="Y17" t="s">
        <v>208</v>
      </c>
      <c r="Z17" t="s">
        <v>47</v>
      </c>
      <c r="AA17" s="16">
        <v>848</v>
      </c>
      <c r="AB17" s="16">
        <v>848</v>
      </c>
      <c r="AC17" s="17">
        <v>2550</v>
      </c>
      <c r="AD17" s="43">
        <v>2550</v>
      </c>
      <c r="AE17" s="68"/>
      <c r="AF17" s="68"/>
      <c r="AG17" s="69"/>
      <c r="AH17" s="69"/>
      <c r="AI17" s="68"/>
      <c r="AJ17" s="68"/>
      <c r="AK17" s="68"/>
      <c r="AN17" t="s">
        <v>208</v>
      </c>
      <c r="AO17" t="s">
        <v>47</v>
      </c>
      <c r="AP17" s="16">
        <v>848</v>
      </c>
      <c r="AQ17" s="16">
        <v>848</v>
      </c>
      <c r="AR17" s="17">
        <v>2554</v>
      </c>
      <c r="AS17" s="43">
        <v>2554</v>
      </c>
      <c r="AT17" s="68"/>
      <c r="AU17" s="68"/>
      <c r="AV17" s="69"/>
      <c r="AW17" s="69"/>
      <c r="AX17" s="68"/>
      <c r="AY17" s="68"/>
      <c r="AZ17" s="68"/>
    </row>
    <row r="18" spans="1:75" ht="18" thickTop="1" thickBot="1">
      <c r="B18" s="535" t="s">
        <v>169</v>
      </c>
      <c r="C18" s="46" t="s">
        <v>9</v>
      </c>
      <c r="D18" s="46">
        <v>1.33</v>
      </c>
      <c r="E18" s="47">
        <v>1.55</v>
      </c>
      <c r="Y18" t="s">
        <v>209</v>
      </c>
      <c r="Z18" t="s">
        <v>169</v>
      </c>
      <c r="AA18" s="17">
        <v>1567</v>
      </c>
      <c r="AB18" s="17">
        <v>1567</v>
      </c>
      <c r="AC18" s="17">
        <v>6410</v>
      </c>
      <c r="AD18" s="43">
        <v>6410</v>
      </c>
      <c r="AE18" s="68"/>
      <c r="AF18" s="68"/>
      <c r="AG18" s="68"/>
      <c r="AH18" s="68"/>
      <c r="AI18" s="68"/>
      <c r="AJ18" s="68"/>
      <c r="AK18" s="68"/>
      <c r="AN18" t="s">
        <v>209</v>
      </c>
      <c r="AO18" t="s">
        <v>169</v>
      </c>
      <c r="AP18" s="17">
        <v>1567</v>
      </c>
      <c r="AQ18" s="17">
        <v>1567</v>
      </c>
      <c r="AR18" s="17">
        <v>6422</v>
      </c>
      <c r="AS18" s="43">
        <v>6422</v>
      </c>
      <c r="AT18" s="68"/>
      <c r="AU18" s="68"/>
      <c r="AV18" s="68"/>
      <c r="AW18" s="68"/>
      <c r="AX18" s="68"/>
      <c r="AY18" s="68"/>
      <c r="AZ18" s="68"/>
    </row>
    <row r="19" spans="1:75" ht="18" thickTop="1" thickBot="1">
      <c r="B19" s="536"/>
      <c r="C19" s="46" t="s">
        <v>10</v>
      </c>
      <c r="D19" s="46">
        <v>1.43</v>
      </c>
      <c r="E19" s="47">
        <v>1.54</v>
      </c>
      <c r="Y19" t="s">
        <v>210</v>
      </c>
      <c r="Z19" t="s">
        <v>170</v>
      </c>
      <c r="AA19" s="17">
        <v>1296</v>
      </c>
      <c r="AB19" s="17">
        <v>1296</v>
      </c>
      <c r="AC19" s="17">
        <v>13545</v>
      </c>
      <c r="AD19" s="43">
        <v>13545</v>
      </c>
      <c r="AE19" s="68"/>
      <c r="AF19" s="68"/>
      <c r="AG19" s="68"/>
      <c r="AH19" s="68"/>
      <c r="AI19" s="68"/>
      <c r="AJ19" s="68"/>
      <c r="AK19" s="68"/>
      <c r="AN19" t="s">
        <v>210</v>
      </c>
      <c r="AO19" t="s">
        <v>170</v>
      </c>
      <c r="AP19" s="17">
        <v>1296</v>
      </c>
      <c r="AQ19" s="17">
        <v>1296</v>
      </c>
      <c r="AR19" s="17">
        <v>13569</v>
      </c>
      <c r="AS19" s="43">
        <v>13569</v>
      </c>
      <c r="AT19" s="68"/>
      <c r="AU19" s="68"/>
      <c r="AV19" s="68"/>
      <c r="AW19" s="68"/>
      <c r="AX19" s="68"/>
      <c r="AY19" s="68"/>
      <c r="AZ19" s="68"/>
    </row>
    <row r="20" spans="1:75" ht="18" thickTop="1" thickBot="1">
      <c r="B20" s="535" t="s">
        <v>170</v>
      </c>
      <c r="C20" s="46" t="s">
        <v>9</v>
      </c>
      <c r="D20" s="46">
        <v>1.33</v>
      </c>
      <c r="E20" s="47">
        <v>1.55</v>
      </c>
      <c r="Y20" t="s">
        <v>211</v>
      </c>
      <c r="Z20" t="s">
        <v>171</v>
      </c>
      <c r="AA20" s="16">
        <v>44</v>
      </c>
      <c r="AB20" s="16">
        <v>44</v>
      </c>
      <c r="AC20" s="16">
        <v>45</v>
      </c>
      <c r="AD20" s="16">
        <v>45</v>
      </c>
      <c r="AE20" s="69"/>
      <c r="AF20" s="69"/>
      <c r="AG20" s="69"/>
      <c r="AH20" s="69"/>
      <c r="AI20" s="69"/>
      <c r="AJ20" s="69"/>
      <c r="AK20" s="69"/>
      <c r="AN20" t="s">
        <v>211</v>
      </c>
      <c r="AO20" t="s">
        <v>171</v>
      </c>
      <c r="AP20" s="16">
        <v>44</v>
      </c>
      <c r="AQ20" s="16">
        <v>44</v>
      </c>
      <c r="AR20" s="16">
        <v>45</v>
      </c>
      <c r="AS20" s="16">
        <v>45</v>
      </c>
      <c r="AT20" s="69"/>
      <c r="AU20" s="69"/>
      <c r="AV20" s="69"/>
      <c r="AW20" s="69"/>
      <c r="AX20" s="69"/>
      <c r="AY20" s="69"/>
      <c r="AZ20" s="69"/>
    </row>
    <row r="21" spans="1:75" ht="17.5" thickTop="1">
      <c r="B21" s="536"/>
      <c r="C21" s="46" t="s">
        <v>10</v>
      </c>
      <c r="D21" s="46">
        <v>1.43</v>
      </c>
      <c r="E21" s="47">
        <v>1.54</v>
      </c>
      <c r="Y21" t="s">
        <v>778</v>
      </c>
      <c r="Z21" t="s">
        <v>26</v>
      </c>
      <c r="AA21" s="56">
        <f t="shared" ref="AA21:AH21" si="0">SUM(AA7:AA20)</f>
        <v>14410</v>
      </c>
      <c r="AB21" s="56">
        <f t="shared" si="0"/>
        <v>14410</v>
      </c>
      <c r="AC21" s="56">
        <f t="shared" si="0"/>
        <v>44713</v>
      </c>
      <c r="AD21" s="56">
        <f t="shared" si="0"/>
        <v>44713</v>
      </c>
      <c r="AE21" s="56">
        <f t="shared" si="0"/>
        <v>3670</v>
      </c>
      <c r="AF21" s="56">
        <f t="shared" si="0"/>
        <v>3670</v>
      </c>
      <c r="AG21" s="56">
        <f t="shared" si="0"/>
        <v>3869</v>
      </c>
      <c r="AH21" s="56">
        <f t="shared" si="0"/>
        <v>3869</v>
      </c>
      <c r="AI21" s="56"/>
      <c r="AJ21" s="56"/>
      <c r="AK21" s="56"/>
      <c r="AN21" t="s">
        <v>26</v>
      </c>
      <c r="AO21" t="s">
        <v>26</v>
      </c>
      <c r="AP21" s="56">
        <f t="shared" ref="AP21:AW21" si="1">SUM(AP7:AP20)</f>
        <v>14410</v>
      </c>
      <c r="AQ21" s="56">
        <f t="shared" si="1"/>
        <v>14410</v>
      </c>
      <c r="AR21" s="56">
        <f t="shared" si="1"/>
        <v>44791</v>
      </c>
      <c r="AS21" s="56">
        <f t="shared" si="1"/>
        <v>44791</v>
      </c>
      <c r="AT21" s="56">
        <f t="shared" si="1"/>
        <v>3670</v>
      </c>
      <c r="AU21" s="56">
        <f t="shared" si="1"/>
        <v>3670</v>
      </c>
      <c r="AV21" s="56">
        <f t="shared" si="1"/>
        <v>3877</v>
      </c>
      <c r="AW21" s="56">
        <f t="shared" si="1"/>
        <v>3877</v>
      </c>
      <c r="AX21" s="56"/>
      <c r="AY21" s="56"/>
      <c r="AZ21" s="56"/>
      <c r="BF21">
        <v>0.01</v>
      </c>
    </row>
    <row r="22" spans="1:75">
      <c r="B22" s="535" t="s">
        <v>171</v>
      </c>
      <c r="C22" s="46" t="s">
        <v>9</v>
      </c>
      <c r="D22" s="46">
        <v>1.27</v>
      </c>
      <c r="E22" s="47">
        <v>1.35</v>
      </c>
    </row>
    <row r="23" spans="1:75" ht="17.5" thickBot="1">
      <c r="B23" s="537"/>
      <c r="C23" s="48" t="s">
        <v>10</v>
      </c>
      <c r="D23" s="48">
        <v>1.27</v>
      </c>
      <c r="E23" s="49">
        <v>1.35</v>
      </c>
    </row>
    <row r="24" spans="1:75" ht="31" thickTop="1" thickBot="1">
      <c r="B24" s="56"/>
      <c r="C24" s="56"/>
      <c r="D24" s="56"/>
      <c r="E24" s="56"/>
      <c r="Y24" s="254">
        <v>2025</v>
      </c>
      <c r="AM24" s="254">
        <v>2028</v>
      </c>
    </row>
    <row r="25" spans="1:75" ht="18" thickTop="1" thickBot="1">
      <c r="L25" s="64" t="s">
        <v>196</v>
      </c>
      <c r="O25" t="s">
        <v>215</v>
      </c>
      <c r="AA25" s="532" t="s">
        <v>156</v>
      </c>
      <c r="AB25" s="533"/>
      <c r="AC25" s="534" t="s">
        <v>157</v>
      </c>
      <c r="AD25" s="534"/>
      <c r="AE25" s="534" t="s">
        <v>158</v>
      </c>
      <c r="AF25" s="534"/>
      <c r="AG25" s="534" t="s">
        <v>159</v>
      </c>
      <c r="AH25" s="534"/>
      <c r="AI25" s="534" t="s">
        <v>160</v>
      </c>
      <c r="AJ25" s="534"/>
      <c r="AK25" s="534"/>
      <c r="AP25" s="532" t="s">
        <v>156</v>
      </c>
      <c r="AQ25" s="533"/>
      <c r="AR25" s="534" t="s">
        <v>157</v>
      </c>
      <c r="AS25" s="534"/>
      <c r="AT25" s="534" t="s">
        <v>158</v>
      </c>
      <c r="AU25" s="534"/>
      <c r="AV25" s="534" t="s">
        <v>159</v>
      </c>
      <c r="AW25" s="534"/>
      <c r="AX25" s="534" t="s">
        <v>160</v>
      </c>
      <c r="AY25" s="534"/>
      <c r="AZ25" s="534"/>
      <c r="BG25" s="569" t="s">
        <v>39</v>
      </c>
      <c r="BH25" s="569"/>
      <c r="BI25" s="570"/>
      <c r="BJ25" s="332" t="s">
        <v>156</v>
      </c>
      <c r="BK25" s="332" t="s">
        <v>157</v>
      </c>
      <c r="BL25" s="332" t="s">
        <v>158</v>
      </c>
      <c r="BM25" s="332" t="s">
        <v>159</v>
      </c>
      <c r="BN25" s="333" t="s">
        <v>11</v>
      </c>
      <c r="BP25" s="569" t="s">
        <v>39</v>
      </c>
      <c r="BQ25" s="569"/>
      <c r="BR25" s="570"/>
      <c r="BS25" s="332" t="s">
        <v>156</v>
      </c>
      <c r="BT25" s="332" t="s">
        <v>157</v>
      </c>
      <c r="BU25" s="332" t="s">
        <v>158</v>
      </c>
      <c r="BV25" s="332" t="s">
        <v>159</v>
      </c>
      <c r="BW25" s="333" t="s">
        <v>11</v>
      </c>
    </row>
    <row r="26" spans="1:75" ht="30.5" thickTop="1">
      <c r="A26" s="254">
        <v>2025</v>
      </c>
      <c r="Y26" t="s">
        <v>34</v>
      </c>
      <c r="Z26" t="s">
        <v>148</v>
      </c>
      <c r="AA26" s="315" t="s">
        <v>40</v>
      </c>
      <c r="AB26" s="315" t="s">
        <v>41</v>
      </c>
      <c r="AC26" s="315" t="s">
        <v>40</v>
      </c>
      <c r="AD26" s="315" t="s">
        <v>41</v>
      </c>
      <c r="AE26" s="315" t="s">
        <v>40</v>
      </c>
      <c r="AF26" s="315" t="s">
        <v>41</v>
      </c>
      <c r="AG26" s="315" t="s">
        <v>40</v>
      </c>
      <c r="AH26" s="315" t="s">
        <v>41</v>
      </c>
      <c r="AI26" s="315" t="s">
        <v>40</v>
      </c>
      <c r="AJ26" s="315" t="s">
        <v>41</v>
      </c>
      <c r="AK26" s="315" t="s">
        <v>21</v>
      </c>
      <c r="AN26" t="s">
        <v>34</v>
      </c>
      <c r="AO26" t="s">
        <v>148</v>
      </c>
      <c r="AP26" s="315" t="s">
        <v>40</v>
      </c>
      <c r="AQ26" s="315" t="s">
        <v>41</v>
      </c>
      <c r="AR26" s="315" t="s">
        <v>40</v>
      </c>
      <c r="AS26" s="315" t="s">
        <v>41</v>
      </c>
      <c r="AT26" s="315" t="s">
        <v>40</v>
      </c>
      <c r="AU26" s="315" t="s">
        <v>41</v>
      </c>
      <c r="AV26" s="315" t="s">
        <v>40</v>
      </c>
      <c r="AW26" s="315" t="s">
        <v>41</v>
      </c>
      <c r="AX26" s="315" t="s">
        <v>40</v>
      </c>
      <c r="AY26" s="315" t="s">
        <v>41</v>
      </c>
      <c r="AZ26" s="315" t="s">
        <v>21</v>
      </c>
      <c r="BG26" s="553" t="s">
        <v>683</v>
      </c>
      <c r="BH26" s="556" t="s">
        <v>247</v>
      </c>
      <c r="BI26" s="44" t="s">
        <v>44</v>
      </c>
      <c r="BJ26" s="44">
        <v>40.4</v>
      </c>
      <c r="BK26" s="44">
        <v>6</v>
      </c>
      <c r="BL26" s="44">
        <v>40</v>
      </c>
      <c r="BM26" s="44">
        <v>0</v>
      </c>
      <c r="BN26" s="45">
        <v>13.6</v>
      </c>
      <c r="BP26" s="553" t="s">
        <v>684</v>
      </c>
      <c r="BQ26" s="556" t="s">
        <v>247</v>
      </c>
      <c r="BR26" s="46" t="s">
        <v>44</v>
      </c>
      <c r="BS26" s="46">
        <v>40.4</v>
      </c>
      <c r="BT26" s="46">
        <v>6</v>
      </c>
      <c r="BU26" s="46">
        <v>40.1</v>
      </c>
      <c r="BV26" s="46">
        <v>0</v>
      </c>
      <c r="BW26" s="47">
        <v>13.5</v>
      </c>
    </row>
    <row r="27" spans="1:75">
      <c r="C27" s="532" t="s">
        <v>156</v>
      </c>
      <c r="D27" s="533"/>
      <c r="E27" s="534" t="s">
        <v>157</v>
      </c>
      <c r="F27" s="534"/>
      <c r="G27" s="534" t="s">
        <v>158</v>
      </c>
      <c r="H27" s="534"/>
      <c r="I27" s="534" t="s">
        <v>159</v>
      </c>
      <c r="J27" s="534"/>
      <c r="K27" s="534" t="s">
        <v>160</v>
      </c>
      <c r="L27" s="534"/>
      <c r="M27" s="534"/>
      <c r="Y27" t="s">
        <v>197</v>
      </c>
      <c r="Z27" t="s">
        <v>198</v>
      </c>
      <c r="AA27" s="314">
        <f t="shared" ref="AA27:AB31" si="2">AA7*$BJ$26*$BF$21 + AC7*$BJ$27*$BF$21+AE7*$BJ$28*$BF$21</f>
        <v>739.61</v>
      </c>
      <c r="AB27" s="314">
        <f t="shared" si="2"/>
        <v>739.61</v>
      </c>
      <c r="AC27" s="314">
        <f t="shared" ref="AC27:AD31" si="3">AA7*$BK$26*$BF$21 + AC7*$BK$27*$BF$21+AE7*$BK$28*$BF$21</f>
        <v>144.66300000000001</v>
      </c>
      <c r="AD27" s="314">
        <f t="shared" si="3"/>
        <v>144.66300000000001</v>
      </c>
      <c r="AE27" s="314">
        <f t="shared" ref="AE27:AF31" si="4">AA7*$BL$26*$BF$21 + AC7*$BL$27*$BF$21+AE7*$BL$28*$BF$21</f>
        <v>995.36800000000005</v>
      </c>
      <c r="AF27" s="314">
        <f t="shared" si="4"/>
        <v>995.36800000000005</v>
      </c>
      <c r="AG27" s="314"/>
      <c r="AH27" s="314"/>
      <c r="AI27" s="71"/>
      <c r="AJ27" s="71"/>
      <c r="AK27" s="71"/>
      <c r="AN27" t="s">
        <v>197</v>
      </c>
      <c r="AO27" t="s">
        <v>198</v>
      </c>
      <c r="AP27" s="314">
        <f t="shared" ref="AP27:AQ31" si="5">AP7*$BJ$26*$BF$21 + AR7*$BJ$27*$BF$21+AT7*$BJ$28*$BF$21</f>
        <v>739.61</v>
      </c>
      <c r="AQ27" s="314">
        <f t="shared" si="5"/>
        <v>739.61</v>
      </c>
      <c r="AR27" s="314">
        <f t="shared" ref="AR27:AS31" si="6">AP7*$BK$26*$BF$21 + AR7*$BK$27*$BF$21+AT7*$BK$28*$BF$21</f>
        <v>144.66300000000001</v>
      </c>
      <c r="AS27" s="314">
        <f t="shared" si="6"/>
        <v>144.66300000000001</v>
      </c>
      <c r="AT27" s="314">
        <f t="shared" ref="AT27:AU31" si="7">AP7*$BL$26*$BF$21 + AR7*$BL$27*$BF$21+AT7*$BL$28*$BF$21</f>
        <v>995.36800000000005</v>
      </c>
      <c r="AU27" s="314">
        <f t="shared" si="7"/>
        <v>995.36800000000005</v>
      </c>
      <c r="AV27" s="314"/>
      <c r="AW27" s="314"/>
      <c r="AX27" s="71"/>
      <c r="AY27" s="71"/>
      <c r="AZ27" s="71"/>
      <c r="BG27" s="554"/>
      <c r="BH27" s="557"/>
      <c r="BI27" s="46" t="s">
        <v>45</v>
      </c>
      <c r="BJ27" s="46">
        <v>6.9</v>
      </c>
      <c r="BK27" s="46">
        <v>2.4</v>
      </c>
      <c r="BL27" s="46">
        <v>38.700000000000003</v>
      </c>
      <c r="BM27" s="46">
        <v>0</v>
      </c>
      <c r="BN27" s="47">
        <v>52</v>
      </c>
      <c r="BP27" s="554"/>
      <c r="BQ27" s="557"/>
      <c r="BR27" s="46" t="s">
        <v>45</v>
      </c>
      <c r="BS27" s="46">
        <v>6.9</v>
      </c>
      <c r="BT27" s="46">
        <v>2.4</v>
      </c>
      <c r="BU27" s="46">
        <v>38.799999999999997</v>
      </c>
      <c r="BV27" s="46">
        <v>0</v>
      </c>
      <c r="BW27" s="47">
        <v>51.9</v>
      </c>
    </row>
    <row r="28" spans="1:75">
      <c r="A28" t="s">
        <v>34</v>
      </c>
      <c r="B28" t="s">
        <v>148</v>
      </c>
      <c r="C28" s="294" t="s">
        <v>40</v>
      </c>
      <c r="D28" s="294" t="s">
        <v>41</v>
      </c>
      <c r="E28" s="294" t="s">
        <v>40</v>
      </c>
      <c r="F28" s="294" t="s">
        <v>41</v>
      </c>
      <c r="G28" s="294" t="s">
        <v>40</v>
      </c>
      <c r="H28" s="294" t="s">
        <v>41</v>
      </c>
      <c r="I28" s="294" t="s">
        <v>40</v>
      </c>
      <c r="J28" s="294" t="s">
        <v>41</v>
      </c>
      <c r="K28" s="294" t="s">
        <v>40</v>
      </c>
      <c r="L28" s="294" t="s">
        <v>41</v>
      </c>
      <c r="M28" s="294" t="s">
        <v>21</v>
      </c>
      <c r="Y28" s="56" t="s">
        <v>197</v>
      </c>
      <c r="Z28" s="20" t="s">
        <v>199</v>
      </c>
      <c r="AA28" s="314">
        <f t="shared" si="2"/>
        <v>735.30500000000006</v>
      </c>
      <c r="AB28" s="314">
        <f t="shared" si="2"/>
        <v>735.30500000000006</v>
      </c>
      <c r="AC28" s="314">
        <f t="shared" si="3"/>
        <v>143.80500000000001</v>
      </c>
      <c r="AD28" s="314">
        <f t="shared" si="3"/>
        <v>143.80500000000001</v>
      </c>
      <c r="AE28" s="314">
        <f t="shared" si="4"/>
        <v>989.36500000000001</v>
      </c>
      <c r="AF28" s="314">
        <f t="shared" si="4"/>
        <v>989.36500000000001</v>
      </c>
      <c r="AG28" s="314"/>
      <c r="AH28" s="314"/>
      <c r="AI28" s="71"/>
      <c r="AJ28" s="71"/>
      <c r="AK28" s="71"/>
      <c r="AN28" s="56" t="s">
        <v>197</v>
      </c>
      <c r="AO28" s="20" t="s">
        <v>199</v>
      </c>
      <c r="AP28" s="314">
        <f t="shared" si="5"/>
        <v>735.30500000000006</v>
      </c>
      <c r="AQ28" s="314">
        <f t="shared" si="5"/>
        <v>735.30500000000006</v>
      </c>
      <c r="AR28" s="314">
        <f t="shared" si="6"/>
        <v>143.80500000000001</v>
      </c>
      <c r="AS28" s="314">
        <f t="shared" si="6"/>
        <v>143.80500000000001</v>
      </c>
      <c r="AT28" s="314">
        <f t="shared" si="7"/>
        <v>989.36500000000001</v>
      </c>
      <c r="AU28" s="314">
        <f t="shared" si="7"/>
        <v>989.36500000000001</v>
      </c>
      <c r="AV28" s="314"/>
      <c r="AW28" s="314"/>
      <c r="AX28" s="71"/>
      <c r="AY28" s="71"/>
      <c r="AZ28" s="71"/>
      <c r="BG28" s="554"/>
      <c r="BH28" s="557"/>
      <c r="BI28" s="46" t="s">
        <v>46</v>
      </c>
      <c r="BJ28" s="46">
        <v>27.9</v>
      </c>
      <c r="BK28" s="46">
        <v>7.1</v>
      </c>
      <c r="BL28" s="46">
        <v>40.700000000000003</v>
      </c>
      <c r="BM28" s="46">
        <v>0</v>
      </c>
      <c r="BN28" s="47">
        <v>24.3</v>
      </c>
      <c r="BP28" s="554"/>
      <c r="BQ28" s="557"/>
      <c r="BR28" s="46" t="s">
        <v>46</v>
      </c>
      <c r="BS28" s="46">
        <v>27.9</v>
      </c>
      <c r="BT28" s="46">
        <v>7.1</v>
      </c>
      <c r="BU28" s="46">
        <v>40.700000000000003</v>
      </c>
      <c r="BV28" s="46">
        <v>0</v>
      </c>
      <c r="BW28" s="47">
        <v>24.3</v>
      </c>
    </row>
    <row r="29" spans="1:75">
      <c r="A29" t="s">
        <v>197</v>
      </c>
      <c r="B29" t="s">
        <v>198</v>
      </c>
      <c r="C29" s="406">
        <f>AA27*(1+KTDB_발생량도착량_증가율!$C$8) * (1+KTDB_발생량도착량_증가율!$D$8*5) * (1+KTDB_발생량도착량_증가율!$E$8*5)</f>
        <v>757.41289102285327</v>
      </c>
      <c r="D29" s="406">
        <f>AB27*(1+KTDB_발생량도착량_증가율!$C$7)*(1+KTDB_발생량도착량_증가율!$D$7*5)*(1+KTDB_발생량도착량_증가율!$E$7*5)</f>
        <v>757.41289102285327</v>
      </c>
      <c r="E29" s="406">
        <f>AC27*(1+KTDB_발생량도착량_증가율!$C$8) * (1+KTDB_발생량도착량_증가율!$D$8*5) * (1+KTDB_발생량도착량_증가율!$E$8*5)</f>
        <v>148.14513196690015</v>
      </c>
      <c r="F29" s="406">
        <f>AD27*(1+KTDB_발생량도착량_증가율!$C$7)*(1+KTDB_발생량도착량_증가율!$D$7*5)*(1+KTDB_발생량도착량_증가율!$E$7*5)</f>
        <v>148.14513196690015</v>
      </c>
      <c r="G29" s="407">
        <f>AE27*(1+KTDB_발생량도착량_증가율!$C$8) * (1+KTDB_발생량도착량_증가율!$D$8*5) * (1+KTDB_발생량도착량_증가율!$E$8*5)</f>
        <v>1019.3271514874533</v>
      </c>
      <c r="H29" s="407">
        <f>AF27*(1+KTDB_발생량도착량_증가율!$C$7)*(1+KTDB_발생량도착량_증가율!$D$7*5)*(1+KTDB_발생량도착량_증가율!$E$7*5)</f>
        <v>1019.3271514874533</v>
      </c>
      <c r="I29" s="299"/>
      <c r="J29" s="299"/>
      <c r="K29" s="71">
        <f>C29+E29+G29</f>
        <v>1924.8851744772069</v>
      </c>
      <c r="L29" s="71">
        <f t="shared" ref="L29:L40" si="8">D29+F29+H29</f>
        <v>1924.8851744772069</v>
      </c>
      <c r="M29" s="71">
        <f>K29+L29</f>
        <v>3849.7703489544137</v>
      </c>
      <c r="Y29" t="s">
        <v>197</v>
      </c>
      <c r="Z29" t="s">
        <v>200</v>
      </c>
      <c r="AA29" s="314">
        <f t="shared" si="2"/>
        <v>602.58100000000002</v>
      </c>
      <c r="AB29" s="314">
        <f t="shared" si="2"/>
        <v>602.58100000000002</v>
      </c>
      <c r="AC29" s="314">
        <f t="shared" si="3"/>
        <v>117.845</v>
      </c>
      <c r="AD29" s="314">
        <f t="shared" si="3"/>
        <v>117.845</v>
      </c>
      <c r="AE29" s="314">
        <f t="shared" si="4"/>
        <v>810.721</v>
      </c>
      <c r="AF29" s="314">
        <f t="shared" si="4"/>
        <v>810.721</v>
      </c>
      <c r="AG29" s="314"/>
      <c r="AH29" s="314"/>
      <c r="AI29" s="71"/>
      <c r="AJ29" s="71"/>
      <c r="AK29" s="71"/>
      <c r="AN29" t="s">
        <v>197</v>
      </c>
      <c r="AO29" t="s">
        <v>200</v>
      </c>
      <c r="AP29" s="314">
        <f t="shared" si="5"/>
        <v>602.58100000000002</v>
      </c>
      <c r="AQ29" s="314">
        <f t="shared" si="5"/>
        <v>602.58100000000002</v>
      </c>
      <c r="AR29" s="314">
        <f t="shared" si="6"/>
        <v>117.845</v>
      </c>
      <c r="AS29" s="314">
        <f t="shared" si="6"/>
        <v>117.845</v>
      </c>
      <c r="AT29" s="314">
        <f t="shared" si="7"/>
        <v>810.721</v>
      </c>
      <c r="AU29" s="314">
        <f t="shared" si="7"/>
        <v>810.721</v>
      </c>
      <c r="AV29" s="314"/>
      <c r="AW29" s="314"/>
      <c r="AX29" s="71"/>
      <c r="AY29" s="71"/>
      <c r="AZ29" s="71"/>
      <c r="BG29" s="554"/>
      <c r="BH29" s="558"/>
      <c r="BI29" s="46" t="s">
        <v>166</v>
      </c>
      <c r="BJ29" s="46">
        <v>25</v>
      </c>
      <c r="BK29" s="46">
        <v>7.5</v>
      </c>
      <c r="BL29" s="46">
        <v>41.8</v>
      </c>
      <c r="BM29" s="46">
        <v>0</v>
      </c>
      <c r="BN29" s="47">
        <v>25.7</v>
      </c>
      <c r="BP29" s="554"/>
      <c r="BQ29" s="558"/>
      <c r="BR29" s="46" t="s">
        <v>166</v>
      </c>
      <c r="BS29" s="46">
        <v>25</v>
      </c>
      <c r="BT29" s="46">
        <v>7.5</v>
      </c>
      <c r="BU29" s="46">
        <v>41.9</v>
      </c>
      <c r="BV29" s="46">
        <v>0</v>
      </c>
      <c r="BW29" s="47">
        <v>25.6</v>
      </c>
    </row>
    <row r="30" spans="1:75">
      <c r="A30" s="56" t="s">
        <v>197</v>
      </c>
      <c r="B30" s="20" t="s">
        <v>199</v>
      </c>
      <c r="C30" s="406">
        <f>AA28*(1+KTDB_발생량도착량_증가율!$C$8) * (1+KTDB_발생량도착량_증가율!$D$8*5) * (1+KTDB_발생량도착량_증가율!$E$8*5)</f>
        <v>753.00426688871039</v>
      </c>
      <c r="D30" s="406">
        <f>AB28*(1+KTDB_발생량도착량_증가율!$C$7)*(1+KTDB_발생량도착량_증가율!$D$7*5)*(1+KTDB_발생량도착량_증가율!$E$7*5)</f>
        <v>753.00426688871039</v>
      </c>
      <c r="E30" s="406">
        <f>AC28*(1+KTDB_발생량도착량_증가율!$C$8) * (1+KTDB_발생량도착량_증가율!$D$8*5) * (1+KTDB_발생량도착량_증가율!$E$8*5)</f>
        <v>147.26647935201177</v>
      </c>
      <c r="F30" s="406">
        <f>AD28*(1+KTDB_발생량도착량_증가율!$C$7)*(1+KTDB_발생량도착량_증가율!$D$7*5)*(1+KTDB_발생량도착량_증가율!$E$7*5)</f>
        <v>147.26647935201177</v>
      </c>
      <c r="G30" s="407">
        <f>AE28*(1+KTDB_발생량도착량_증가율!$C$8) * (1+KTDB_발생량도착량_증가율!$D$8*5) * (1+KTDB_발생량도착량_증가율!$E$8*5)</f>
        <v>1013.1796553951749</v>
      </c>
      <c r="H30" s="407">
        <f>AF28*(1+KTDB_발생량도착량_증가율!$C$7)*(1+KTDB_발생량도착량_증가율!$D$7*5)*(1+KTDB_발생량도착량_증가율!$E$7*5)</f>
        <v>1013.1796553951749</v>
      </c>
      <c r="I30" s="299"/>
      <c r="J30" s="299"/>
      <c r="K30" s="71">
        <f t="shared" ref="K30:K40" si="9">C30+E30+G30</f>
        <v>1913.4504016358969</v>
      </c>
      <c r="L30" s="71">
        <f t="shared" si="8"/>
        <v>1913.4504016358969</v>
      </c>
      <c r="M30" s="71">
        <f t="shared" ref="M30:M40" si="10">K30+L30</f>
        <v>3826.9008032717938</v>
      </c>
      <c r="Y30" t="s">
        <v>197</v>
      </c>
      <c r="Z30" t="s">
        <v>201</v>
      </c>
      <c r="AA30" s="314">
        <f t="shared" si="2"/>
        <v>614.39599999999996</v>
      </c>
      <c r="AB30" s="314">
        <f t="shared" si="2"/>
        <v>614.39599999999996</v>
      </c>
      <c r="AC30" s="314">
        <f t="shared" si="3"/>
        <v>120.16900000000001</v>
      </c>
      <c r="AD30" s="314">
        <f t="shared" si="3"/>
        <v>120.16900000000001</v>
      </c>
      <c r="AE30" s="314">
        <f t="shared" si="4"/>
        <v>826.74199999999996</v>
      </c>
      <c r="AF30" s="314">
        <f t="shared" si="4"/>
        <v>826.74199999999996</v>
      </c>
      <c r="AG30" s="69"/>
      <c r="AH30" s="69"/>
      <c r="AI30" s="68"/>
      <c r="AJ30" s="68"/>
      <c r="AK30" s="68"/>
      <c r="AN30" t="s">
        <v>197</v>
      </c>
      <c r="AO30" t="s">
        <v>201</v>
      </c>
      <c r="AP30" s="314">
        <f t="shared" si="5"/>
        <v>614.39599999999996</v>
      </c>
      <c r="AQ30" s="314">
        <f t="shared" si="5"/>
        <v>614.39599999999996</v>
      </c>
      <c r="AR30" s="314">
        <f t="shared" si="6"/>
        <v>120.16900000000001</v>
      </c>
      <c r="AS30" s="314">
        <f t="shared" si="6"/>
        <v>120.16900000000001</v>
      </c>
      <c r="AT30" s="314">
        <f t="shared" si="7"/>
        <v>826.74199999999996</v>
      </c>
      <c r="AU30" s="314">
        <f t="shared" si="7"/>
        <v>826.74199999999996</v>
      </c>
      <c r="AV30" s="69"/>
      <c r="AW30" s="69"/>
      <c r="AX30" s="68"/>
      <c r="AY30" s="68"/>
      <c r="AZ30" s="68"/>
      <c r="BG30" s="554"/>
      <c r="BH30" s="559" t="s">
        <v>13</v>
      </c>
      <c r="BI30" s="46" t="s">
        <v>9</v>
      </c>
      <c r="BJ30" s="46">
        <v>26.3</v>
      </c>
      <c r="BK30" s="46">
        <v>1.9</v>
      </c>
      <c r="BL30" s="46">
        <v>55.2</v>
      </c>
      <c r="BM30" s="46">
        <v>0</v>
      </c>
      <c r="BN30" s="47">
        <v>16.600000000000001</v>
      </c>
      <c r="BP30" s="554"/>
      <c r="BQ30" s="559" t="s">
        <v>13</v>
      </c>
      <c r="BR30" s="46" t="s">
        <v>9</v>
      </c>
      <c r="BS30" s="46">
        <v>26.3</v>
      </c>
      <c r="BT30" s="46">
        <v>1.9</v>
      </c>
      <c r="BU30" s="46">
        <v>55.3</v>
      </c>
      <c r="BV30" s="46">
        <v>0</v>
      </c>
      <c r="BW30" s="47">
        <v>16.5</v>
      </c>
    </row>
    <row r="31" spans="1:75" ht="17" customHeight="1">
      <c r="A31" t="s">
        <v>197</v>
      </c>
      <c r="B31" t="s">
        <v>200</v>
      </c>
      <c r="C31" s="406">
        <f>AA29*(1+KTDB_발생량도착량_증가율!$C$8) * (1+KTDB_발생량도착량_증가율!$D$8*5) * (1+KTDB_발생량도착량_증가율!$E$8*5)</f>
        <v>617.08551437303709</v>
      </c>
      <c r="D31" s="406">
        <f>AB29*(1+KTDB_발생량도착량_증가율!$C$7)*(1+KTDB_발생량도착량_증가율!$D$7*5)*(1+KTDB_발생량도착량_증가율!$E$7*5)</f>
        <v>617.08551437303709</v>
      </c>
      <c r="E31" s="406">
        <f>AC29*(1+KTDB_발생량도착량_증가율!$C$8) * (1+KTDB_발생량도착량_증가율!$D$8*5) * (1+KTDB_발생량도착량_증가율!$E$8*5)</f>
        <v>120.68160536308075</v>
      </c>
      <c r="F31" s="406">
        <f>AD29*(1+KTDB_발생량도착량_증가율!$C$7)*(1+KTDB_발생량도착량_증가율!$D$7*5)*(1+KTDB_발생량도착량_증가율!$E$7*5)</f>
        <v>120.68160536308075</v>
      </c>
      <c r="G31" s="407">
        <f>AE29*(1+KTDB_발생량도착량_증가율!$C$8) * (1+KTDB_발생량도착량_증가율!$D$8*5) * (1+KTDB_발생량도착량_증가율!$E$8*5)</f>
        <v>830.23557878197789</v>
      </c>
      <c r="H31" s="407">
        <f>AF29*(1+KTDB_발생량도착량_증가율!$C$7)*(1+KTDB_발생량도착량_증가율!$D$7*5)*(1+KTDB_발생량도착량_증가율!$E$7*5)</f>
        <v>830.23557878197789</v>
      </c>
      <c r="I31" s="299"/>
      <c r="J31" s="299"/>
      <c r="K31" s="71">
        <f t="shared" si="9"/>
        <v>1568.0026985180957</v>
      </c>
      <c r="L31" s="71">
        <f t="shared" si="8"/>
        <v>1568.0026985180957</v>
      </c>
      <c r="M31" s="71">
        <f t="shared" si="10"/>
        <v>3136.0053970361914</v>
      </c>
      <c r="Y31" t="s">
        <v>135</v>
      </c>
      <c r="Z31" t="s">
        <v>12</v>
      </c>
      <c r="AA31" s="314">
        <f t="shared" si="2"/>
        <v>76.184000000000012</v>
      </c>
      <c r="AB31" s="314">
        <f t="shared" si="2"/>
        <v>76.184000000000012</v>
      </c>
      <c r="AC31" s="314">
        <f t="shared" si="3"/>
        <v>14.876000000000001</v>
      </c>
      <c r="AD31" s="314">
        <f t="shared" si="3"/>
        <v>14.876000000000001</v>
      </c>
      <c r="AE31" s="314">
        <f t="shared" si="4"/>
        <v>102.52800000000001</v>
      </c>
      <c r="AF31" s="314">
        <f t="shared" si="4"/>
        <v>102.52800000000001</v>
      </c>
      <c r="AG31" s="69"/>
      <c r="AH31" s="69"/>
      <c r="AI31" s="69"/>
      <c r="AJ31" s="69"/>
      <c r="AK31" s="69"/>
      <c r="AN31" t="s">
        <v>135</v>
      </c>
      <c r="AO31" t="s">
        <v>12</v>
      </c>
      <c r="AP31" s="314">
        <f t="shared" si="5"/>
        <v>76.184000000000012</v>
      </c>
      <c r="AQ31" s="314">
        <f t="shared" si="5"/>
        <v>76.184000000000012</v>
      </c>
      <c r="AR31" s="314">
        <f t="shared" si="6"/>
        <v>14.876000000000001</v>
      </c>
      <c r="AS31" s="314">
        <f t="shared" si="6"/>
        <v>14.876000000000001</v>
      </c>
      <c r="AT31" s="314">
        <f t="shared" si="7"/>
        <v>102.52800000000001</v>
      </c>
      <c r="AU31" s="314">
        <f t="shared" si="7"/>
        <v>102.52800000000001</v>
      </c>
      <c r="AV31" s="69"/>
      <c r="AW31" s="69"/>
      <c r="AX31" s="69"/>
      <c r="AY31" s="69"/>
      <c r="AZ31" s="69"/>
      <c r="BG31" s="554"/>
      <c r="BH31" s="558"/>
      <c r="BI31" s="46" t="s">
        <v>10</v>
      </c>
      <c r="BJ31" s="46">
        <v>28</v>
      </c>
      <c r="BK31" s="46">
        <v>3.9</v>
      </c>
      <c r="BL31" s="46">
        <v>19.5</v>
      </c>
      <c r="BM31" s="46">
        <v>0</v>
      </c>
      <c r="BN31" s="47">
        <v>48.6</v>
      </c>
      <c r="BP31" s="554"/>
      <c r="BQ31" s="558"/>
      <c r="BR31" s="46" t="s">
        <v>10</v>
      </c>
      <c r="BS31" s="46">
        <v>28.1</v>
      </c>
      <c r="BT31" s="46">
        <v>3.9</v>
      </c>
      <c r="BU31" s="46">
        <v>19.600000000000001</v>
      </c>
      <c r="BV31" s="46">
        <v>0</v>
      </c>
      <c r="BW31" s="47">
        <v>48.4</v>
      </c>
    </row>
    <row r="32" spans="1:75">
      <c r="A32" t="s">
        <v>197</v>
      </c>
      <c r="B32" t="s">
        <v>201</v>
      </c>
      <c r="C32" s="408">
        <f>AA30*(1+KTDB_발생량도착량_증가율!$C$8) * (1+KTDB_발생량도착량_증가율!$D$8*5) * (1+KTDB_발생량도착량_증가율!$E$8*5)</f>
        <v>629.18490906407021</v>
      </c>
      <c r="D32" s="408">
        <f>AB30*(1+KTDB_발생량도착량_증가율!$C$7)*(1+KTDB_발생량도착량_증가율!$D$7*5)*(1+KTDB_발생량도착량_증가율!$E$7*5)</f>
        <v>629.18490906407021</v>
      </c>
      <c r="E32" s="408">
        <f>AC30*(1+KTDB_발생량도착량_증가율!$C$8) * (1+KTDB_발생량도착량_증가율!$D$8*5) * (1+KTDB_발생량도착량_증가율!$E$8*5)</f>
        <v>123.06154554606519</v>
      </c>
      <c r="F32" s="408">
        <f>AD30*(1+KTDB_발생량도착량_증가율!$C$7)*(1+KTDB_발생량도착량_증가율!$D$7*5)*(1+KTDB_발생량도착량_증가율!$E$7*5)</f>
        <v>123.06154554606519</v>
      </c>
      <c r="G32" s="409">
        <f>AE30*(1+KTDB_발생량도착량_증가율!$C$8) * (1+KTDB_발생량도착량_증가율!$D$8*5) * (1+KTDB_발생량도착량_증가율!$E$8*5)</f>
        <v>846.64221461312809</v>
      </c>
      <c r="H32" s="409">
        <f>AF30*(1+KTDB_발생량도착량_증가율!$C$7)*(1+KTDB_발생량도착량_증가율!$D$7*5)*(1+KTDB_발생량도착량_증가율!$E$7*5)</f>
        <v>846.64221461312809</v>
      </c>
      <c r="I32" s="69"/>
      <c r="J32" s="69"/>
      <c r="K32" s="68">
        <f t="shared" si="9"/>
        <v>1598.8886692232636</v>
      </c>
      <c r="L32" s="68">
        <f t="shared" si="8"/>
        <v>1598.8886692232636</v>
      </c>
      <c r="M32" s="68">
        <f t="shared" si="10"/>
        <v>3197.7773384465272</v>
      </c>
      <c r="Y32" t="s">
        <v>136</v>
      </c>
      <c r="Z32" t="s">
        <v>13</v>
      </c>
      <c r="AA32" s="314">
        <f>AA14*$BJ$30*$BF$21</f>
        <v>90.734999999999999</v>
      </c>
      <c r="AB32" s="314">
        <f>AB14*$BJ$30*$BF$21</f>
        <v>90.734999999999999</v>
      </c>
      <c r="AC32" s="314">
        <f>AA14*$BK$30*$BF$21</f>
        <v>6.5549999999999997</v>
      </c>
      <c r="AD32" s="314">
        <f>AB14*$BK$30*$BF$21</f>
        <v>6.5549999999999997</v>
      </c>
      <c r="AE32" s="314">
        <f>AA14*$BL$30*$BF$21</f>
        <v>190.44</v>
      </c>
      <c r="AF32" s="314">
        <f>AB14*$BL$30*$BF$21</f>
        <v>190.44</v>
      </c>
      <c r="AG32" s="68"/>
      <c r="AH32" s="68"/>
      <c r="AI32" s="68"/>
      <c r="AJ32" s="68"/>
      <c r="AK32" s="68"/>
      <c r="AN32" t="s">
        <v>136</v>
      </c>
      <c r="AO32" t="s">
        <v>13</v>
      </c>
      <c r="AP32" s="314">
        <f>AP14*$BJ$30*$BF$21</f>
        <v>90.734999999999999</v>
      </c>
      <c r="AQ32" s="314">
        <f>AQ14*$BJ$30*$BF$21</f>
        <v>90.734999999999999</v>
      </c>
      <c r="AR32" s="314">
        <f>AP14*$BK$30*$BF$21</f>
        <v>6.5549999999999997</v>
      </c>
      <c r="AS32" s="314">
        <f>AQ14*$BK$30*$BF$21</f>
        <v>6.5549999999999997</v>
      </c>
      <c r="AT32" s="314">
        <f>AP14*$BL$30*$BF$21</f>
        <v>190.44</v>
      </c>
      <c r="AU32" s="314">
        <f>AQ14*$BL$30*$BF$21</f>
        <v>190.44</v>
      </c>
      <c r="AV32" s="68"/>
      <c r="AW32" s="68"/>
      <c r="AX32" s="68"/>
      <c r="AY32" s="68"/>
      <c r="AZ32" s="68"/>
      <c r="BG32" s="554"/>
      <c r="BH32" s="559" t="s">
        <v>167</v>
      </c>
      <c r="BI32" s="46" t="s">
        <v>9</v>
      </c>
      <c r="BJ32" s="46">
        <v>31.6</v>
      </c>
      <c r="BK32" s="46">
        <v>6.3</v>
      </c>
      <c r="BL32" s="46">
        <v>52.6</v>
      </c>
      <c r="BM32" s="46">
        <v>0</v>
      </c>
      <c r="BN32" s="47">
        <v>9.5</v>
      </c>
      <c r="BP32" s="554"/>
      <c r="BQ32" s="559" t="s">
        <v>167</v>
      </c>
      <c r="BR32" s="46" t="s">
        <v>9</v>
      </c>
      <c r="BS32" s="46">
        <v>31.6</v>
      </c>
      <c r="BT32" s="46">
        <v>6.3</v>
      </c>
      <c r="BU32" s="46">
        <v>52.7</v>
      </c>
      <c r="BV32" s="46">
        <v>0</v>
      </c>
      <c r="BW32" s="47">
        <v>9.4</v>
      </c>
    </row>
    <row r="33" spans="1:75">
      <c r="A33" t="s">
        <v>135</v>
      </c>
      <c r="B33" t="s">
        <v>12</v>
      </c>
      <c r="C33" s="408">
        <f>AA31*(1+KTDB_발생량도착량_증가율!$C$8) * (1+KTDB_발생량도착량_증가율!$D$8*5) * (1+KTDB_발생량도착량_증가율!$E$8*5)</f>
        <v>78.017798149950721</v>
      </c>
      <c r="D33" s="408">
        <f>AB31*(1+KTDB_발생량도착량_증가율!$C$7)*(1+KTDB_발생량도착량_증가율!$D$7*5)*(1+KTDB_발생량도착량_증가율!$E$7*5)</f>
        <v>78.017798149950721</v>
      </c>
      <c r="E33" s="408">
        <f>AC31*(1+KTDB_발생량도착량_증가율!$C$8) * (1+KTDB_발생량도착량_증가율!$D$8*5) * (1+KTDB_발생량도착량_증가율!$E$8*5)</f>
        <v>15.23407494065246</v>
      </c>
      <c r="F33" s="408">
        <f>AD31*(1+KTDB_발생량도착량_증가율!$C$7)*(1+KTDB_발생량도착량_증가율!$D$7*5)*(1+KTDB_발생량도착량_증가율!$E$7*5)</f>
        <v>15.23407494065246</v>
      </c>
      <c r="G33" s="408">
        <f>AE31*(1+KTDB_발생량도착량_증가율!$C$8) * (1+KTDB_발생량도착량_증가율!$D$8*5) * (1+KTDB_발생량도착량_증가율!$E$8*5)</f>
        <v>104.99591526722341</v>
      </c>
      <c r="H33" s="408">
        <f>AF31*(1+KTDB_발생량도착량_증가율!$C$7)*(1+KTDB_발생량도착량_증가율!$D$7*5)*(1+KTDB_발생량도착량_증가율!$E$7*5)</f>
        <v>104.99591526722341</v>
      </c>
      <c r="I33" s="69"/>
      <c r="J33" s="69"/>
      <c r="K33" s="69">
        <f t="shared" si="9"/>
        <v>198.24778835782661</v>
      </c>
      <c r="L33" s="69">
        <f t="shared" si="8"/>
        <v>198.24778835782661</v>
      </c>
      <c r="M33" s="69">
        <f t="shared" si="10"/>
        <v>396.49557671565321</v>
      </c>
      <c r="Y33" t="s">
        <v>206</v>
      </c>
      <c r="Z33" t="s">
        <v>167</v>
      </c>
      <c r="AA33" s="314">
        <f>AA15*$BJ$32*$BF$21</f>
        <v>416.48800000000006</v>
      </c>
      <c r="AB33" s="314">
        <f>AB15*$BJ$32*$BF$21</f>
        <v>416.48800000000006</v>
      </c>
      <c r="AC33" s="314">
        <f>AA15*$BK$32*$BF$21</f>
        <v>83.033999999999992</v>
      </c>
      <c r="AD33" s="314">
        <f>AB15*$BK$32*$BF$21</f>
        <v>83.033999999999992</v>
      </c>
      <c r="AE33" s="314">
        <f>AA15*$BL$32*$BF$21</f>
        <v>693.26800000000003</v>
      </c>
      <c r="AF33" s="314">
        <f>AB15*$BL$32*$BF$21</f>
        <v>693.26800000000003</v>
      </c>
      <c r="AG33" s="68"/>
      <c r="AH33" s="68"/>
      <c r="AI33" s="68"/>
      <c r="AJ33" s="68"/>
      <c r="AK33" s="68"/>
      <c r="AN33" t="s">
        <v>206</v>
      </c>
      <c r="AO33" t="s">
        <v>167</v>
      </c>
      <c r="AP33" s="314">
        <f>AP15*$BJ$32*$BF$21</f>
        <v>416.48800000000006</v>
      </c>
      <c r="AQ33" s="314">
        <f>AQ15*$BJ$32*$BF$21</f>
        <v>416.48800000000006</v>
      </c>
      <c r="AR33" s="314">
        <f>AP15*$BK$32*$BF$21</f>
        <v>83.033999999999992</v>
      </c>
      <c r="AS33" s="314">
        <f>AQ15*$BK$32*$BF$21</f>
        <v>83.033999999999992</v>
      </c>
      <c r="AT33" s="314">
        <f>AP15*$BL$32*$BF$21</f>
        <v>693.26800000000003</v>
      </c>
      <c r="AU33" s="314">
        <f>AQ15*$BL$32*$BF$21</f>
        <v>693.26800000000003</v>
      </c>
      <c r="AV33" s="68"/>
      <c r="AW33" s="68"/>
      <c r="AX33" s="68"/>
      <c r="AY33" s="68"/>
      <c r="AZ33" s="68"/>
      <c r="BG33" s="554"/>
      <c r="BH33" s="558"/>
      <c r="BI33" s="46" t="s">
        <v>10</v>
      </c>
      <c r="BJ33" s="46">
        <v>35</v>
      </c>
      <c r="BK33" s="46">
        <v>6.8</v>
      </c>
      <c r="BL33" s="46">
        <v>40.9</v>
      </c>
      <c r="BM33" s="46">
        <v>0</v>
      </c>
      <c r="BN33" s="47">
        <v>17.3</v>
      </c>
      <c r="BP33" s="554"/>
      <c r="BQ33" s="558"/>
      <c r="BR33" s="46" t="s">
        <v>10</v>
      </c>
      <c r="BS33" s="46">
        <v>35</v>
      </c>
      <c r="BT33" s="46">
        <v>6.8</v>
      </c>
      <c r="BU33" s="46">
        <v>40.9</v>
      </c>
      <c r="BV33" s="46">
        <v>0</v>
      </c>
      <c r="BW33" s="47">
        <v>17.3</v>
      </c>
    </row>
    <row r="34" spans="1:75">
      <c r="A34" t="s">
        <v>611</v>
      </c>
      <c r="B34" t="s">
        <v>13</v>
      </c>
      <c r="C34" s="409">
        <f>AA32*(1+KTDB_발생량도착량_증가율!$C$8) * (1+KTDB_발생량도착량_증가율!$D$8*5) * (1+KTDB_발생량도착량_증가율!$E$8*5)</f>
        <v>92.919050130418185</v>
      </c>
      <c r="D34" s="409">
        <f>AB32*(1+KTDB_발생량도착량_증가율!$C$7)*(1+KTDB_발생량도착량_증가율!$D$7*5)*(1+KTDB_발생량도착량_증가율!$E$7*5)</f>
        <v>92.919050130418185</v>
      </c>
      <c r="E34" s="408">
        <f>AC32*(1+KTDB_발생량도착량_증가율!$C$8) * (1+KTDB_발생량도착량_증가율!$D$8*5) * (1+KTDB_발생량도착량_증가율!$E$8*5)</f>
        <v>6.7127830892697551</v>
      </c>
      <c r="F34" s="408">
        <f>AD32*(1+KTDB_발생량도착량_증가율!$C$7)*(1+KTDB_발생량도착량_증가율!$D$7*5)*(1+KTDB_발생량도착량_증가율!$E$7*5)</f>
        <v>6.7127830892697551</v>
      </c>
      <c r="G34" s="408">
        <f>AE32*(1+KTDB_발생량도착량_증가율!$C$8) * (1+KTDB_발생량도착량_증가율!$D$8*5) * (1+KTDB_발생량도착량_증가율!$E$8*5)</f>
        <v>195.02401396194233</v>
      </c>
      <c r="H34" s="408">
        <f>AF32*(1+KTDB_발생량도착량_증가율!$C$7)*(1+KTDB_발생량도착량_증가율!$D$7*5)*(1+KTDB_발생량도착량_증가율!$E$7*5)</f>
        <v>195.02401396194233</v>
      </c>
      <c r="I34" s="68"/>
      <c r="J34" s="68"/>
      <c r="K34" s="68">
        <f t="shared" si="9"/>
        <v>294.65584718163029</v>
      </c>
      <c r="L34" s="68">
        <f t="shared" si="8"/>
        <v>294.65584718163029</v>
      </c>
      <c r="M34" s="68">
        <f t="shared" si="10"/>
        <v>589.31169436326059</v>
      </c>
      <c r="Y34" t="s">
        <v>207</v>
      </c>
      <c r="Z34" t="s">
        <v>168</v>
      </c>
      <c r="AA34" s="314">
        <f>AA16*$BJ$34*$BF$21</f>
        <v>1631.8500000000001</v>
      </c>
      <c r="AB34" s="314">
        <f>AB16*$BJ$34*$BF$21</f>
        <v>1631.8500000000001</v>
      </c>
      <c r="AC34" s="314">
        <f>AA16*$BK$34*$BF$21</f>
        <v>351.09500000000003</v>
      </c>
      <c r="AD34" s="314">
        <f>AB16*$BK$34*$BF$21</f>
        <v>351.09500000000003</v>
      </c>
      <c r="AE34" s="314">
        <f>AA16*$BL$34*$BF$21</f>
        <v>2546.6750000000002</v>
      </c>
      <c r="AF34" s="314">
        <f>AB16*$BL$34*$BF$21</f>
        <v>2546.6750000000002</v>
      </c>
      <c r="AG34" s="68"/>
      <c r="AH34" s="68"/>
      <c r="AI34" s="68"/>
      <c r="AJ34" s="68"/>
      <c r="AK34" s="68"/>
      <c r="AN34" t="s">
        <v>207</v>
      </c>
      <c r="AO34" t="s">
        <v>168</v>
      </c>
      <c r="AP34" s="314">
        <f>AP16*$BJ$34*$BF$21</f>
        <v>1631.8500000000001</v>
      </c>
      <c r="AQ34" s="314">
        <f>AQ16*$BJ$34*$BF$21</f>
        <v>1631.8500000000001</v>
      </c>
      <c r="AR34" s="314">
        <f>AP16*$BK$34*$BF$21</f>
        <v>351.09500000000003</v>
      </c>
      <c r="AS34" s="314">
        <f>AQ16*$BK$34*$BF$21</f>
        <v>351.09500000000003</v>
      </c>
      <c r="AT34" s="314">
        <f>AP16*$BL$34*$BF$21</f>
        <v>2546.6750000000002</v>
      </c>
      <c r="AU34" s="314">
        <f>AQ16*$BL$34*$BF$21</f>
        <v>2546.6750000000002</v>
      </c>
      <c r="AV34" s="68"/>
      <c r="AW34" s="68"/>
      <c r="AX34" s="68"/>
      <c r="AY34" s="68"/>
      <c r="AZ34" s="68"/>
      <c r="BG34" s="554"/>
      <c r="BH34" s="559" t="s">
        <v>168</v>
      </c>
      <c r="BI34" s="46" t="s">
        <v>9</v>
      </c>
      <c r="BJ34" s="46">
        <v>33</v>
      </c>
      <c r="BK34" s="46">
        <v>7.1</v>
      </c>
      <c r="BL34" s="46">
        <v>51.5</v>
      </c>
      <c r="BM34" s="46">
        <v>0</v>
      </c>
      <c r="BN34" s="47">
        <v>8.4</v>
      </c>
      <c r="BP34" s="554"/>
      <c r="BQ34" s="559" t="s">
        <v>168</v>
      </c>
      <c r="BR34" s="46" t="s">
        <v>9</v>
      </c>
      <c r="BS34" s="46">
        <v>33</v>
      </c>
      <c r="BT34" s="46">
        <v>7.1</v>
      </c>
      <c r="BU34" s="46">
        <v>51.6</v>
      </c>
      <c r="BV34" s="46">
        <v>0</v>
      </c>
      <c r="BW34" s="47">
        <v>8.3000000000000007</v>
      </c>
    </row>
    <row r="35" spans="1:75">
      <c r="A35" t="s">
        <v>612</v>
      </c>
      <c r="B35" t="s">
        <v>167</v>
      </c>
      <c r="C35" s="409">
        <f>AA33*(1+KTDB_발생량도착량_증가율!$C$8) * (1+KTDB_발생량도착량_증가율!$D$8*5) * (1+KTDB_발생량도착량_증가율!$E$8*5)</f>
        <v>426.51313551239997</v>
      </c>
      <c r="D35" s="409">
        <f>AB33*(1+KTDB_발생량도착량_증가율!$C$7)*(1+KTDB_발생량도착량_증가율!$D$7*5)*(1+KTDB_발생량도착량_증가율!$E$7*5)</f>
        <v>426.51313551239997</v>
      </c>
      <c r="E35" s="408">
        <f>AC33*(1+KTDB_발생량도착량_증가율!$C$8) * (1+KTDB_발생량도착량_증가율!$D$8*5) * (1+KTDB_발생량도착량_증가율!$E$8*5)</f>
        <v>85.032682080003767</v>
      </c>
      <c r="F35" s="408">
        <f>AD33*(1+KTDB_발생량도착량_증가율!$C$7)*(1+KTDB_발생량도착량_증가율!$D$7*5)*(1+KTDB_발생량도착량_증가율!$E$7*5)</f>
        <v>85.032682080003767</v>
      </c>
      <c r="G35" s="409">
        <f>AE33*(1+KTDB_발생량도착량_증가율!$C$8) * (1+KTDB_발생량도착량_증가율!$D$8*5) * (1+KTDB_발생량도착량_증가율!$E$8*5)</f>
        <v>709.95540911241255</v>
      </c>
      <c r="H35" s="409">
        <f>AF33*(1+KTDB_발생량도착량_증가율!$C$7)*(1+KTDB_발생량도착량_증가율!$D$7*5)*(1+KTDB_발생량도착량_증가율!$E$7*5)</f>
        <v>709.95540911241255</v>
      </c>
      <c r="I35" s="68"/>
      <c r="J35" s="68"/>
      <c r="K35" s="68">
        <f t="shared" si="9"/>
        <v>1221.5012267048164</v>
      </c>
      <c r="L35" s="68">
        <f t="shared" si="8"/>
        <v>1221.5012267048164</v>
      </c>
      <c r="M35" s="68">
        <f t="shared" si="10"/>
        <v>2443.0024534096328</v>
      </c>
      <c r="Y35" t="s">
        <v>208</v>
      </c>
      <c r="Z35" t="s">
        <v>47</v>
      </c>
      <c r="AA35" s="314">
        <f>AA17*$BJ$36*$BF$21</f>
        <v>312.06399999999996</v>
      </c>
      <c r="AB35" s="314">
        <f>AB17*$BJ$36*$BF$21</f>
        <v>312.06399999999996</v>
      </c>
      <c r="AC35" s="314">
        <f>AA17*$BK$36*$BF$21</f>
        <v>82.255999999999986</v>
      </c>
      <c r="AD35" s="314">
        <f>AB17*$BK$36*$BF$21</f>
        <v>82.255999999999986</v>
      </c>
      <c r="AE35" s="314">
        <f>AA17*$BL$36*$BF$21</f>
        <v>294.25600000000003</v>
      </c>
      <c r="AF35" s="314">
        <f>AB17*$BL$36*$BF$21</f>
        <v>294.25600000000003</v>
      </c>
      <c r="AG35" s="69"/>
      <c r="AH35" s="69"/>
      <c r="AI35" s="68"/>
      <c r="AJ35" s="68"/>
      <c r="AK35" s="68"/>
      <c r="AN35" t="s">
        <v>208</v>
      </c>
      <c r="AO35" t="s">
        <v>47</v>
      </c>
      <c r="AP35" s="314">
        <f>AP17*$BJ$36*$BF$21</f>
        <v>312.06399999999996</v>
      </c>
      <c r="AQ35" s="314">
        <f>AQ17*$BJ$36*$BF$21</f>
        <v>312.06399999999996</v>
      </c>
      <c r="AR35" s="314">
        <f>AP17*$BK$36*$BF$21</f>
        <v>82.255999999999986</v>
      </c>
      <c r="AS35" s="314">
        <f>AQ17*$BK$36*$BF$21</f>
        <v>82.255999999999986</v>
      </c>
      <c r="AT35" s="314">
        <f>AP17*$BL$36*$BF$21</f>
        <v>294.25600000000003</v>
      </c>
      <c r="AU35" s="314">
        <f>AQ17*$BL$36*$BF$21</f>
        <v>294.25600000000003</v>
      </c>
      <c r="AV35" s="69"/>
      <c r="AW35" s="69"/>
      <c r="AX35" s="68"/>
      <c r="AY35" s="68"/>
      <c r="AZ35" s="68"/>
      <c r="BG35" s="554"/>
      <c r="BH35" s="558"/>
      <c r="BI35" s="46" t="s">
        <v>10</v>
      </c>
      <c r="BJ35" s="46">
        <v>31.4</v>
      </c>
      <c r="BK35" s="46">
        <v>7.3</v>
      </c>
      <c r="BL35" s="46">
        <v>54.1</v>
      </c>
      <c r="BM35" s="46">
        <v>0</v>
      </c>
      <c r="BN35" s="47">
        <v>7.2</v>
      </c>
      <c r="BP35" s="554"/>
      <c r="BQ35" s="558"/>
      <c r="BR35" s="46" t="s">
        <v>10</v>
      </c>
      <c r="BS35" s="46">
        <v>31.4</v>
      </c>
      <c r="BT35" s="46">
        <v>7.3</v>
      </c>
      <c r="BU35" s="46">
        <v>54.2</v>
      </c>
      <c r="BV35" s="46">
        <v>0</v>
      </c>
      <c r="BW35" s="47">
        <v>7.1</v>
      </c>
    </row>
    <row r="36" spans="1:75">
      <c r="A36" t="s">
        <v>613</v>
      </c>
      <c r="B36" t="s">
        <v>168</v>
      </c>
      <c r="C36" s="409">
        <f>AA34*(1+KTDB_발생량도착량_증가율!$C$8) * (1+KTDB_발생량도착량_증가율!$D$8*5) * (1+KTDB_발생량도착량_증가율!$E$8*5)</f>
        <v>1671.1296848550494</v>
      </c>
      <c r="D36" s="409">
        <f>AB34*(1+KTDB_발생량도착량_증가율!$C$7)*(1+KTDB_발생량도착량_증가율!$D$7*5)*(1+KTDB_발생량도착량_증가율!$E$7*5)</f>
        <v>1671.1296848550494</v>
      </c>
      <c r="E36" s="408">
        <f>AC34*(1+KTDB_발생량도착량_증가율!$C$8) * (1+KTDB_발생량도착량_증가율!$D$8*5) * (1+KTDB_발생량도착량_증가율!$E$8*5)</f>
        <v>359.54608371123794</v>
      </c>
      <c r="F36" s="408">
        <f>AD34*(1+KTDB_발생량도착량_증가율!$C$7)*(1+KTDB_발생량도착량_증가율!$D$7*5)*(1+KTDB_발생량도착량_증가율!$E$7*5)</f>
        <v>359.54608371123794</v>
      </c>
      <c r="G36" s="409">
        <f>AE34*(1+KTDB_발생량도착량_증가율!$C$8) * (1+KTDB_발생량도착량_증가율!$D$8*5) * (1+KTDB_발생량도착량_증가율!$E$8*5)</f>
        <v>2607.9751142434866</v>
      </c>
      <c r="H36" s="409">
        <f>AF34*(1+KTDB_발생량도착량_증가율!$C$7)*(1+KTDB_발생량도착량_증가율!$D$7*5)*(1+KTDB_발생량도착량_증가율!$E$7*5)</f>
        <v>2607.9751142434866</v>
      </c>
      <c r="I36" s="68"/>
      <c r="J36" s="68"/>
      <c r="K36" s="68">
        <f t="shared" si="9"/>
        <v>4638.650882809774</v>
      </c>
      <c r="L36" s="68">
        <f t="shared" si="8"/>
        <v>4638.650882809774</v>
      </c>
      <c r="M36" s="68">
        <f t="shared" si="10"/>
        <v>9277.301765619548</v>
      </c>
      <c r="Y36" t="s">
        <v>209</v>
      </c>
      <c r="Z36" t="s">
        <v>169</v>
      </c>
      <c r="AA36" s="314">
        <f>AA18*$BJ$38*$BF$21</f>
        <v>532.78</v>
      </c>
      <c r="AB36" s="314">
        <f>AB18*$BJ$38*$BF$21</f>
        <v>532.78</v>
      </c>
      <c r="AC36" s="314">
        <f>AA18*$BK$38*$BF$21</f>
        <v>111.25699999999999</v>
      </c>
      <c r="AD36" s="314">
        <f>AB18*$BK$38*$BF$21</f>
        <v>111.25699999999999</v>
      </c>
      <c r="AE36" s="314">
        <f>AA18*$BL$38*$BF$21</f>
        <v>460.69799999999998</v>
      </c>
      <c r="AF36" s="314">
        <f>AB18*$BL$38*$BF$21</f>
        <v>460.69799999999998</v>
      </c>
      <c r="AG36" s="68"/>
      <c r="AH36" s="68"/>
      <c r="AI36" s="68"/>
      <c r="AJ36" s="68"/>
      <c r="AK36" s="68"/>
      <c r="AN36" t="s">
        <v>209</v>
      </c>
      <c r="AO36" t="s">
        <v>169</v>
      </c>
      <c r="AP36" s="314">
        <f>AP18*$BJ$38*$BF$21</f>
        <v>532.78</v>
      </c>
      <c r="AQ36" s="314">
        <f>AQ18*$BJ$38*$BF$21</f>
        <v>532.78</v>
      </c>
      <c r="AR36" s="314">
        <f>AP18*$BK$38*$BF$21</f>
        <v>111.25699999999999</v>
      </c>
      <c r="AS36" s="314">
        <f>AQ18*$BK$38*$BF$21</f>
        <v>111.25699999999999</v>
      </c>
      <c r="AT36" s="314">
        <f>AP18*$BL$38*$BF$21</f>
        <v>460.69799999999998</v>
      </c>
      <c r="AU36" s="314">
        <f>AQ18*$BL$38*$BF$21</f>
        <v>460.69799999999998</v>
      </c>
      <c r="AV36" s="68"/>
      <c r="AW36" s="68"/>
      <c r="AX36" s="68"/>
      <c r="AY36" s="68"/>
      <c r="AZ36" s="68"/>
      <c r="BG36" s="554"/>
      <c r="BH36" s="559" t="s">
        <v>47</v>
      </c>
      <c r="BI36" s="46" t="s">
        <v>9</v>
      </c>
      <c r="BJ36" s="46">
        <v>36.799999999999997</v>
      </c>
      <c r="BK36" s="46">
        <v>9.6999999999999993</v>
      </c>
      <c r="BL36" s="46">
        <v>34.700000000000003</v>
      </c>
      <c r="BM36" s="46">
        <v>0</v>
      </c>
      <c r="BN36" s="47">
        <v>18.8</v>
      </c>
      <c r="BP36" s="554"/>
      <c r="BQ36" s="559" t="s">
        <v>47</v>
      </c>
      <c r="BR36" s="46" t="s">
        <v>9</v>
      </c>
      <c r="BS36" s="46">
        <v>36.799999999999997</v>
      </c>
      <c r="BT36" s="46">
        <v>9.6999999999999993</v>
      </c>
      <c r="BU36" s="46">
        <v>34.700000000000003</v>
      </c>
      <c r="BV36" s="46">
        <v>0</v>
      </c>
      <c r="BW36" s="47">
        <v>18.8</v>
      </c>
    </row>
    <row r="37" spans="1:75" ht="17" customHeight="1">
      <c r="A37" t="s">
        <v>614</v>
      </c>
      <c r="B37" t="s">
        <v>47</v>
      </c>
      <c r="C37" s="409">
        <f>AA35*(1+KTDB_발생량도착량_증가율!$C$8) * (1+KTDB_발생량도착량_증가율!$D$8*5) * (1+KTDB_발생량도착량_증가율!$E$8*5)</f>
        <v>319.57558229898956</v>
      </c>
      <c r="D37" s="409">
        <f>AB35*(1+KTDB_발생량도착량_증가율!$C$7)*(1+KTDB_발생량도착량_증가율!$D$7*5)*(1+KTDB_발생량도착량_증가율!$E$7*5)</f>
        <v>319.57558229898956</v>
      </c>
      <c r="E37" s="408">
        <f>AC35*(1+KTDB_발생량도착량_증가율!$C$8) * (1+KTDB_발생량도착량_증가율!$D$8*5) * (1+KTDB_발생량도착량_증가율!$E$8*5)</f>
        <v>84.235955116853205</v>
      </c>
      <c r="F37" s="408">
        <f>AD35*(1+KTDB_발생량도착량_증가율!$C$7)*(1+KTDB_발생량도착량_증가율!$D$7*5)*(1+KTDB_발생량도착량_증가율!$E$7*5)</f>
        <v>84.235955116853205</v>
      </c>
      <c r="G37" s="409">
        <f>AE35*(1+KTDB_발생량도착량_증가율!$C$8) * (1+KTDB_발생량도착량_증가율!$D$8*5) * (1+KTDB_발생량도착량_증가율!$E$8*5)</f>
        <v>301.3389322221451</v>
      </c>
      <c r="H37" s="409">
        <f>AF35*(1+KTDB_발생량도착량_증가율!$C$7)*(1+KTDB_발생량도착량_증가율!$D$7*5)*(1+KTDB_발생량도착량_증가율!$E$7*5)</f>
        <v>301.3389322221451</v>
      </c>
      <c r="I37" s="69"/>
      <c r="J37" s="69"/>
      <c r="K37" s="68">
        <f t="shared" si="9"/>
        <v>705.15046963798784</v>
      </c>
      <c r="L37" s="68">
        <f t="shared" si="8"/>
        <v>705.15046963798784</v>
      </c>
      <c r="M37" s="68">
        <f t="shared" si="10"/>
        <v>1410.3009392759757</v>
      </c>
      <c r="P37" s="56"/>
      <c r="Q37" s="56"/>
      <c r="R37" s="56"/>
      <c r="S37" s="56"/>
      <c r="T37" s="301"/>
      <c r="U37" s="301"/>
      <c r="V37" s="56"/>
      <c r="W37" s="56"/>
      <c r="X37" s="56"/>
      <c r="Y37" t="s">
        <v>210</v>
      </c>
      <c r="Z37" t="s">
        <v>170</v>
      </c>
      <c r="AA37" s="314">
        <f>AA19*$BJ$40*$BF$21</f>
        <v>440.64</v>
      </c>
      <c r="AB37" s="314">
        <f>AB19*$BJ$40*$BF$21</f>
        <v>440.64</v>
      </c>
      <c r="AC37" s="314">
        <f>AA19*$BK$40*$BF$21</f>
        <v>92.016000000000005</v>
      </c>
      <c r="AD37" s="314">
        <f>AB19*$BK$40*$BF$21</f>
        <v>92.016000000000005</v>
      </c>
      <c r="AE37" s="314">
        <f>AA19*$BL$40*$BF$21</f>
        <v>381.024</v>
      </c>
      <c r="AF37" s="314">
        <f>AB19*$BL$40*$BF$21</f>
        <v>381.024</v>
      </c>
      <c r="AG37" s="68"/>
      <c r="AH37" s="68"/>
      <c r="AI37" s="68"/>
      <c r="AJ37" s="68"/>
      <c r="AK37" s="68"/>
      <c r="AN37" t="s">
        <v>210</v>
      </c>
      <c r="AO37" t="s">
        <v>170</v>
      </c>
      <c r="AP37" s="314">
        <f>AP19*$BJ$40*$BF$21</f>
        <v>440.64</v>
      </c>
      <c r="AQ37" s="314">
        <f>AQ19*$BJ$40*$BF$21</f>
        <v>440.64</v>
      </c>
      <c r="AR37" s="314">
        <f>AP19*$BK$40*$BF$21</f>
        <v>92.016000000000005</v>
      </c>
      <c r="AS37" s="314">
        <f>AQ19*$BK$40*$BF$21</f>
        <v>92.016000000000005</v>
      </c>
      <c r="AT37" s="314">
        <f>AP19*$BL$40*$BF$21</f>
        <v>381.024</v>
      </c>
      <c r="AU37" s="314">
        <f>AQ19*$BL$40*$BF$21</f>
        <v>381.024</v>
      </c>
      <c r="AV37" s="68"/>
      <c r="AW37" s="68"/>
      <c r="AX37" s="68"/>
      <c r="AY37" s="68"/>
      <c r="AZ37" s="68"/>
      <c r="BG37" s="554"/>
      <c r="BH37" s="558"/>
      <c r="BI37" s="46" t="s">
        <v>10</v>
      </c>
      <c r="BJ37" s="46">
        <v>34.6</v>
      </c>
      <c r="BK37" s="46">
        <v>9.5</v>
      </c>
      <c r="BL37" s="46">
        <v>35.700000000000003</v>
      </c>
      <c r="BM37" s="46">
        <v>0</v>
      </c>
      <c r="BN37" s="47">
        <v>20.2</v>
      </c>
      <c r="BP37" s="554"/>
      <c r="BQ37" s="558"/>
      <c r="BR37" s="46" t="s">
        <v>10</v>
      </c>
      <c r="BS37" s="46">
        <v>34.6</v>
      </c>
      <c r="BT37" s="46">
        <v>9.5</v>
      </c>
      <c r="BU37" s="46">
        <v>35.799999999999997</v>
      </c>
      <c r="BV37" s="46">
        <v>0</v>
      </c>
      <c r="BW37" s="47">
        <v>20.100000000000001</v>
      </c>
    </row>
    <row r="38" spans="1:75">
      <c r="A38" t="s">
        <v>615</v>
      </c>
      <c r="B38" t="s">
        <v>169</v>
      </c>
      <c r="C38" s="409">
        <f>AA36*(1+KTDB_발생량도착량_증가율!$C$8) * (1+KTDB_발생량도착량_증가율!$D$8*5) * (1+KTDB_발생량도착량_증가율!$E$8*5)</f>
        <v>545.60435916111976</v>
      </c>
      <c r="D38" s="409">
        <f>AB36*(1+KTDB_발생량도착량_증가율!$C$7)*(1+KTDB_발생량도착량_증가율!$D$7*5)*(1+KTDB_발생량도착량_증가율!$E$7*5)</f>
        <v>545.60435916111976</v>
      </c>
      <c r="E38" s="408">
        <f>AC36*(1+KTDB_발생량도착량_증가율!$C$8) * (1+KTDB_발생량도착량_증가율!$D$8*5) * (1+KTDB_발생량도착량_증가율!$E$8*5)</f>
        <v>113.93502794246911</v>
      </c>
      <c r="F38" s="408">
        <f>AD36*(1+KTDB_발생량도착량_증가율!$C$7)*(1+KTDB_발생량도착량_증가율!$D$7*5)*(1+KTDB_발생량도착량_증가율!$E$7*5)</f>
        <v>113.93502794246911</v>
      </c>
      <c r="G38" s="409">
        <f>AE36*(1+KTDB_발생량도착량_증가율!$C$8) * (1+KTDB_발생량도착량_증가율!$D$8*5) * (1+KTDB_발생량도착량_증가율!$E$8*5)</f>
        <v>471.78729880402705</v>
      </c>
      <c r="H38" s="409">
        <f>AF36*(1+KTDB_발생량도착량_증가율!$C$7)*(1+KTDB_발생량도착량_증가율!$D$7*5)*(1+KTDB_발생량도착량_증가율!$E$7*5)</f>
        <v>471.78729880402705</v>
      </c>
      <c r="I38" s="68"/>
      <c r="J38" s="68"/>
      <c r="K38" s="68">
        <f t="shared" si="9"/>
        <v>1131.3266859076159</v>
      </c>
      <c r="L38" s="68">
        <f t="shared" si="8"/>
        <v>1131.3266859076159</v>
      </c>
      <c r="M38" s="68">
        <f t="shared" si="10"/>
        <v>2262.6533718152318</v>
      </c>
      <c r="P38" s="56"/>
      <c r="Q38" s="56"/>
      <c r="R38" s="56"/>
      <c r="S38" s="56"/>
      <c r="T38" s="301"/>
      <c r="U38" s="301"/>
      <c r="V38" s="56"/>
      <c r="W38" s="56"/>
      <c r="X38" s="56"/>
      <c r="Y38" t="s">
        <v>211</v>
      </c>
      <c r="Z38" t="s">
        <v>171</v>
      </c>
      <c r="AA38" s="314">
        <f>AA20*$BJ$42*$BF$21</f>
        <v>11.572000000000001</v>
      </c>
      <c r="AB38" s="314">
        <f>AB20*$BJ$42*$BF$21</f>
        <v>11.572000000000001</v>
      </c>
      <c r="AC38" s="314">
        <f>AA20*$BK$42*$BF$21</f>
        <v>0.83599999999999997</v>
      </c>
      <c r="AD38" s="314">
        <f>AB20*$BK$42*$BF$21</f>
        <v>0.83599999999999997</v>
      </c>
      <c r="AE38" s="314">
        <f>AA20*$BL$42*$BF$21</f>
        <v>24.288000000000004</v>
      </c>
      <c r="AF38" s="314">
        <f>AB20*$BL$42*$BF$21</f>
        <v>24.288000000000004</v>
      </c>
      <c r="AG38" s="69"/>
      <c r="AH38" s="69"/>
      <c r="AI38" s="69"/>
      <c r="AJ38" s="69"/>
      <c r="AK38" s="69"/>
      <c r="AN38" t="s">
        <v>211</v>
      </c>
      <c r="AO38" t="s">
        <v>171</v>
      </c>
      <c r="AP38" s="314">
        <f>AP20*$BJ$42*$BF$21</f>
        <v>11.572000000000001</v>
      </c>
      <c r="AQ38" s="314">
        <f>AQ20*$BJ$42*$BF$21</f>
        <v>11.572000000000001</v>
      </c>
      <c r="AR38" s="314">
        <f>AP20*$BK$42*$BF$21</f>
        <v>0.83599999999999997</v>
      </c>
      <c r="AS38" s="314">
        <f>AQ20*$BK$42*$BF$21</f>
        <v>0.83599999999999997</v>
      </c>
      <c r="AT38" s="314">
        <f>AP20*$BL$42*$BF$21</f>
        <v>24.288000000000004</v>
      </c>
      <c r="AU38" s="314">
        <f>AQ20*$BL$42*$BF$21</f>
        <v>24.288000000000004</v>
      </c>
      <c r="AV38" s="69"/>
      <c r="AW38" s="69"/>
      <c r="AX38" s="69"/>
      <c r="AY38" s="69"/>
      <c r="AZ38" s="69"/>
      <c r="BG38" s="554"/>
      <c r="BH38" s="559" t="s">
        <v>169</v>
      </c>
      <c r="BI38" s="46" t="s">
        <v>9</v>
      </c>
      <c r="BJ38" s="46">
        <v>34</v>
      </c>
      <c r="BK38" s="46">
        <v>7.1</v>
      </c>
      <c r="BL38" s="46">
        <v>29.4</v>
      </c>
      <c r="BM38" s="46">
        <v>0</v>
      </c>
      <c r="BN38" s="47">
        <v>29.5</v>
      </c>
      <c r="BP38" s="554"/>
      <c r="BQ38" s="559" t="s">
        <v>169</v>
      </c>
      <c r="BR38" s="46" t="s">
        <v>9</v>
      </c>
      <c r="BS38" s="46">
        <v>34</v>
      </c>
      <c r="BT38" s="46">
        <v>7.1</v>
      </c>
      <c r="BU38" s="46">
        <v>29.5</v>
      </c>
      <c r="BV38" s="46">
        <v>0</v>
      </c>
      <c r="BW38" s="47">
        <v>29.4</v>
      </c>
    </row>
    <row r="39" spans="1:75" ht="17" customHeight="1">
      <c r="A39" t="s">
        <v>616</v>
      </c>
      <c r="B39" t="s">
        <v>170</v>
      </c>
      <c r="C39" s="409">
        <f>AA37*(1+KTDB_발생량도착량_증가율!$C$8) * (1+KTDB_발생량도착량_증가율!$D$8*5) * (1+KTDB_발생량도착량_증가율!$E$8*5)</f>
        <v>451.24648977205561</v>
      </c>
      <c r="D39" s="409">
        <f>AB37*(1+KTDB_발생량도착량_증가율!$C$7)*(1+KTDB_발생량도착량_증가율!$D$7*5)*(1+KTDB_발생량도착량_증가율!$E$7*5)</f>
        <v>451.24648977205561</v>
      </c>
      <c r="E39" s="409">
        <f>AC37*(1+KTDB_발생량도착량_증가율!$C$8) * (1+KTDB_발생량도착량_증가율!$D$8*5) * (1+KTDB_발생량도착량_증가율!$E$8*5)</f>
        <v>94.230884628870442</v>
      </c>
      <c r="F39" s="409">
        <f>AD37*(1+KTDB_발생량도착량_증가율!$C$7)*(1+KTDB_발생량도착량_증가율!$D$7*5)*(1+KTDB_발생량도착량_증가율!$E$7*5)</f>
        <v>94.230884628870442</v>
      </c>
      <c r="G39" s="409">
        <f>AE37*(1+KTDB_발생량도착량_증가율!$C$8) * (1+KTDB_발생량도착량_증가율!$D$8*5) * (1+KTDB_발생량도착량_증가율!$E$8*5)</f>
        <v>390.19549409701278</v>
      </c>
      <c r="H39" s="409">
        <f>AF37*(1+KTDB_발생량도착량_증가율!$C$7)*(1+KTDB_발생량도착량_증가율!$D$7*5)*(1+KTDB_발생량도착량_증가율!$E$7*5)</f>
        <v>390.19549409701278</v>
      </c>
      <c r="I39" s="68"/>
      <c r="J39" s="68"/>
      <c r="K39" s="68">
        <f t="shared" si="9"/>
        <v>935.67286849793879</v>
      </c>
      <c r="L39" s="68">
        <f t="shared" si="8"/>
        <v>935.67286849793879</v>
      </c>
      <c r="M39" s="68">
        <f t="shared" si="10"/>
        <v>1871.3457369958776</v>
      </c>
      <c r="P39" s="56"/>
      <c r="Q39" s="56"/>
      <c r="R39" s="56"/>
      <c r="S39" s="56"/>
      <c r="T39" s="301"/>
      <c r="U39" s="301"/>
      <c r="V39" s="56"/>
      <c r="W39" s="56"/>
      <c r="X39" s="56"/>
      <c r="BG39" s="554"/>
      <c r="BH39" s="558"/>
      <c r="BI39" s="46" t="s">
        <v>10</v>
      </c>
      <c r="BJ39" s="46">
        <v>28.4</v>
      </c>
      <c r="BK39" s="46">
        <v>7</v>
      </c>
      <c r="BL39" s="46">
        <v>32.200000000000003</v>
      </c>
      <c r="BM39" s="46">
        <v>0</v>
      </c>
      <c r="BN39" s="47">
        <v>32.4</v>
      </c>
      <c r="BP39" s="554"/>
      <c r="BQ39" s="558"/>
      <c r="BR39" s="46" t="s">
        <v>10</v>
      </c>
      <c r="BS39" s="46">
        <v>28.5</v>
      </c>
      <c r="BT39" s="46">
        <v>7</v>
      </c>
      <c r="BU39" s="46">
        <v>32.200000000000003</v>
      </c>
      <c r="BV39" s="46">
        <v>0</v>
      </c>
      <c r="BW39" s="47">
        <v>32.299999999999997</v>
      </c>
    </row>
    <row r="40" spans="1:75">
      <c r="A40" t="s">
        <v>617</v>
      </c>
      <c r="B40" t="s">
        <v>171</v>
      </c>
      <c r="C40" s="408">
        <f>AA38*(1+KTDB_발생량도착량_증가율!$C$8) * (1+KTDB_발생량도착량_증가율!$D$8*5) * (1+KTDB_발생량도착량_증가율!$E$8*5)</f>
        <v>11.85054552387942</v>
      </c>
      <c r="D40" s="408">
        <f>AB38*(1+KTDB_발생량도착량_증가율!$C$7)*(1+KTDB_발생량도착량_증가율!$D$7*5)*(1+KTDB_발생량도착량_증가율!$E$7*5)</f>
        <v>11.85054552387942</v>
      </c>
      <c r="E40" s="408">
        <f>AC38*(1+KTDB_발생량도착량_증가율!$C$8) * (1+KTDB_발생량도착량_증가율!$D$8*5) * (1+KTDB_발생량도착량_증가율!$E$8*5)</f>
        <v>0.85612306066049049</v>
      </c>
      <c r="F40" s="408">
        <f>AD38*(1+KTDB_발생량도착량_증가율!$C$7)*(1+KTDB_발생량도착량_증가율!$D$7*5)*(1+KTDB_발생량도착량_증가율!$E$7*5)</f>
        <v>0.85612306066049049</v>
      </c>
      <c r="G40" s="408">
        <f>AE38*(1+KTDB_발생량도착량_증가율!$C$8) * (1+KTDB_발생량도착량_증가율!$D$8*5) * (1+KTDB_발생량도착량_증가율!$E$8*5)</f>
        <v>24.872627867610042</v>
      </c>
      <c r="H40" s="408">
        <f>AF38*(1+KTDB_발생량도착량_증가율!$C$7)*(1+KTDB_발생량도착량_증가율!$D$7*5)*(1+KTDB_발생량도착량_증가율!$E$7*5)</f>
        <v>24.872627867610042</v>
      </c>
      <c r="I40" s="69"/>
      <c r="J40" s="69"/>
      <c r="K40" s="69">
        <f t="shared" si="9"/>
        <v>37.579296452149954</v>
      </c>
      <c r="L40" s="69">
        <f t="shared" si="8"/>
        <v>37.579296452149954</v>
      </c>
      <c r="M40" s="69">
        <f t="shared" si="10"/>
        <v>75.158592904299908</v>
      </c>
      <c r="P40" s="56"/>
      <c r="Q40" s="56"/>
      <c r="R40" s="56"/>
      <c r="S40" s="56"/>
      <c r="T40" s="301"/>
      <c r="U40" s="301"/>
      <c r="V40" s="56"/>
      <c r="W40" s="56"/>
      <c r="X40" s="56"/>
      <c r="BG40" s="554"/>
      <c r="BH40" s="559" t="s">
        <v>170</v>
      </c>
      <c r="BI40" s="46" t="s">
        <v>9</v>
      </c>
      <c r="BJ40" s="46">
        <v>34</v>
      </c>
      <c r="BK40" s="46">
        <v>7.1</v>
      </c>
      <c r="BL40" s="46">
        <v>29.4</v>
      </c>
      <c r="BM40" s="46">
        <v>0</v>
      </c>
      <c r="BN40" s="47">
        <v>29.5</v>
      </c>
      <c r="BP40" s="554"/>
      <c r="BQ40" s="559" t="s">
        <v>170</v>
      </c>
      <c r="BR40" s="46" t="s">
        <v>9</v>
      </c>
      <c r="BS40" s="46">
        <v>34</v>
      </c>
      <c r="BT40" s="46">
        <v>7.1</v>
      </c>
      <c r="BU40" s="46">
        <v>29.5</v>
      </c>
      <c r="BV40" s="46">
        <v>0</v>
      </c>
      <c r="BW40" s="47">
        <v>29.4</v>
      </c>
    </row>
    <row r="41" spans="1:75" ht="17" customHeight="1">
      <c r="A41" t="s">
        <v>26</v>
      </c>
      <c r="B41" t="s">
        <v>26</v>
      </c>
      <c r="C41" s="56">
        <f>SUM(C29:C40)</f>
        <v>6353.5442267525332</v>
      </c>
      <c r="D41" s="56">
        <f t="shared" ref="D41:M41" si="11">SUM(D29:D40)</f>
        <v>6353.5442267525332</v>
      </c>
      <c r="E41" s="56">
        <f t="shared" si="11"/>
        <v>1298.9383767980751</v>
      </c>
      <c r="F41" s="56">
        <f t="shared" si="11"/>
        <v>1298.9383767980751</v>
      </c>
      <c r="G41" s="56">
        <f t="shared" si="11"/>
        <v>8515.5294058535947</v>
      </c>
      <c r="H41" s="56">
        <f t="shared" si="11"/>
        <v>8515.5294058535947</v>
      </c>
      <c r="I41" s="56">
        <f t="shared" si="11"/>
        <v>0</v>
      </c>
      <c r="J41" s="56">
        <f t="shared" si="11"/>
        <v>0</v>
      </c>
      <c r="K41" s="56">
        <f t="shared" si="11"/>
        <v>16168.012009404203</v>
      </c>
      <c r="L41" s="56">
        <f t="shared" si="11"/>
        <v>16168.012009404203</v>
      </c>
      <c r="M41" s="56">
        <f t="shared" si="11"/>
        <v>32336.024018808406</v>
      </c>
      <c r="P41" s="56"/>
      <c r="Q41" s="56"/>
      <c r="R41" s="56"/>
      <c r="S41" s="56"/>
      <c r="T41" s="301"/>
      <c r="U41" s="301"/>
      <c r="V41" s="56"/>
      <c r="W41" s="56"/>
      <c r="X41" s="56"/>
      <c r="BG41" s="554"/>
      <c r="BH41" s="558"/>
      <c r="BI41" s="46" t="s">
        <v>10</v>
      </c>
      <c r="BJ41" s="46">
        <v>28.4</v>
      </c>
      <c r="BK41" s="46">
        <v>7</v>
      </c>
      <c r="BL41" s="46">
        <v>32.200000000000003</v>
      </c>
      <c r="BM41" s="46">
        <v>0</v>
      </c>
      <c r="BN41" s="47">
        <v>32.4</v>
      </c>
      <c r="BP41" s="554"/>
      <c r="BQ41" s="558"/>
      <c r="BR41" s="46" t="s">
        <v>10</v>
      </c>
      <c r="BS41" s="46">
        <v>28.5</v>
      </c>
      <c r="BT41" s="46">
        <v>7</v>
      </c>
      <c r="BU41" s="46">
        <v>32.200000000000003</v>
      </c>
      <c r="BV41" s="46">
        <v>0</v>
      </c>
      <c r="BW41" s="47">
        <v>32.299999999999997</v>
      </c>
    </row>
    <row r="42" spans="1:75"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P42" s="56"/>
      <c r="Q42" s="56"/>
      <c r="R42" s="56"/>
      <c r="S42" s="56"/>
      <c r="T42" s="301"/>
      <c r="U42" s="301"/>
      <c r="V42" s="56"/>
      <c r="W42" s="56"/>
      <c r="X42" s="56"/>
      <c r="BG42" s="554"/>
      <c r="BH42" s="559" t="s">
        <v>171</v>
      </c>
      <c r="BI42" s="46" t="s">
        <v>9</v>
      </c>
      <c r="BJ42" s="46">
        <v>26.3</v>
      </c>
      <c r="BK42" s="46">
        <v>1.9</v>
      </c>
      <c r="BL42" s="46">
        <v>55.2</v>
      </c>
      <c r="BM42" s="46">
        <v>0</v>
      </c>
      <c r="BN42" s="47">
        <v>16.600000000000001</v>
      </c>
      <c r="BP42" s="554"/>
      <c r="BQ42" s="559" t="s">
        <v>171</v>
      </c>
      <c r="BR42" s="46" t="s">
        <v>9</v>
      </c>
      <c r="BS42" s="46">
        <v>26.3</v>
      </c>
      <c r="BT42" s="46">
        <v>1.9</v>
      </c>
      <c r="BU42" s="46">
        <v>55.3</v>
      </c>
      <c r="BV42" s="46">
        <v>0</v>
      </c>
      <c r="BW42" s="47">
        <v>16.5</v>
      </c>
    </row>
    <row r="43" spans="1:75" ht="17.5" thickBot="1"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P43" s="56"/>
      <c r="Q43" s="56"/>
      <c r="R43" s="56"/>
      <c r="S43" s="56"/>
      <c r="T43" s="301"/>
      <c r="U43" s="301"/>
      <c r="V43" s="56"/>
      <c r="W43" s="56"/>
      <c r="X43" s="56"/>
      <c r="BG43" s="555"/>
      <c r="BH43" s="558"/>
      <c r="BI43" s="46" t="s">
        <v>10</v>
      </c>
      <c r="BJ43" s="46">
        <v>28</v>
      </c>
      <c r="BK43" s="46">
        <v>3.9</v>
      </c>
      <c r="BL43" s="46">
        <v>19.5</v>
      </c>
      <c r="BM43" s="46">
        <v>0</v>
      </c>
      <c r="BN43" s="47">
        <v>48.6</v>
      </c>
      <c r="BP43" s="560"/>
      <c r="BQ43" s="561"/>
      <c r="BR43" s="48" t="s">
        <v>10</v>
      </c>
      <c r="BS43" s="48">
        <v>28.1</v>
      </c>
      <c r="BT43" s="48">
        <v>3.9</v>
      </c>
      <c r="BU43" s="48">
        <v>19.600000000000001</v>
      </c>
      <c r="BV43" s="48">
        <v>0</v>
      </c>
      <c r="BW43" s="49">
        <v>48.4</v>
      </c>
    </row>
    <row r="44" spans="1:75" ht="17.5" thickTop="1"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P44" s="56"/>
      <c r="Q44" s="56"/>
      <c r="R44" s="56"/>
      <c r="S44" s="56"/>
      <c r="T44" s="301"/>
      <c r="U44" s="301"/>
      <c r="V44" s="56"/>
      <c r="W44" s="56"/>
      <c r="X44" s="56"/>
    </row>
    <row r="45" spans="1:75">
      <c r="C45" s="56"/>
      <c r="D45" s="56"/>
      <c r="E45" s="56"/>
      <c r="F45" s="56"/>
      <c r="G45" s="56"/>
      <c r="H45" s="56"/>
      <c r="I45" s="56"/>
      <c r="J45" s="56"/>
      <c r="K45" s="56"/>
      <c r="L45" s="56"/>
      <c r="M45" s="56"/>
      <c r="P45" s="56"/>
      <c r="Q45" s="56"/>
      <c r="R45" s="56"/>
      <c r="S45" s="56"/>
      <c r="T45" s="301"/>
      <c r="U45" s="301"/>
      <c r="V45" s="56"/>
      <c r="W45" s="56"/>
      <c r="X45" s="56"/>
    </row>
    <row r="46" spans="1:75">
      <c r="A46" s="76" t="s">
        <v>663</v>
      </c>
      <c r="C46" s="56"/>
      <c r="D46" s="56"/>
      <c r="E46" s="56"/>
      <c r="F46" s="56"/>
      <c r="G46" s="56"/>
      <c r="H46" s="56"/>
      <c r="I46" s="56"/>
      <c r="J46" s="56"/>
      <c r="K46" s="56"/>
      <c r="L46" s="56"/>
      <c r="M46" s="56"/>
      <c r="P46" s="56"/>
      <c r="Q46" s="56"/>
      <c r="R46" s="56"/>
      <c r="S46" s="56"/>
      <c r="T46" s="301"/>
      <c r="U46" s="301"/>
      <c r="V46" s="56"/>
      <c r="W46" s="56"/>
      <c r="X46" s="56"/>
    </row>
    <row r="47" spans="1:75">
      <c r="P47" s="56"/>
      <c r="Q47" s="56"/>
      <c r="R47" s="56"/>
      <c r="S47" s="56"/>
      <c r="T47" s="301"/>
      <c r="U47" s="301"/>
      <c r="V47" s="56"/>
      <c r="W47" s="56"/>
      <c r="X47" s="56"/>
    </row>
    <row r="48" spans="1:75">
      <c r="A48" s="32"/>
      <c r="C48" s="56"/>
      <c r="D48" s="56"/>
      <c r="E48" s="56"/>
      <c r="F48" s="56"/>
      <c r="G48" s="56"/>
      <c r="H48" s="56"/>
      <c r="I48" s="56"/>
      <c r="J48" s="56"/>
      <c r="K48" s="56"/>
      <c r="L48" s="56"/>
      <c r="M48" s="56"/>
      <c r="P48" s="56"/>
      <c r="Q48" s="56"/>
      <c r="R48" s="56"/>
      <c r="S48" s="56"/>
      <c r="T48" s="301"/>
      <c r="U48" s="301"/>
      <c r="V48" s="56"/>
      <c r="W48" s="56"/>
      <c r="X48" s="56"/>
    </row>
    <row r="49" spans="1:167"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P49" s="56"/>
      <c r="Q49" s="56"/>
      <c r="R49" s="56"/>
      <c r="S49" s="56"/>
      <c r="T49" s="301"/>
      <c r="U49" s="301"/>
      <c r="V49" s="56"/>
      <c r="W49" s="56"/>
      <c r="X49" s="56"/>
    </row>
    <row r="50" spans="1:167">
      <c r="C50" s="56"/>
      <c r="D50" s="56"/>
      <c r="E50" s="56"/>
      <c r="F50" s="56"/>
      <c r="G50" s="56"/>
      <c r="H50" s="56"/>
      <c r="I50" s="56"/>
      <c r="J50" s="56"/>
      <c r="K50" s="56"/>
      <c r="L50" s="56"/>
      <c r="M50" s="56"/>
      <c r="P50" s="56"/>
      <c r="Q50" s="56"/>
      <c r="R50" s="56"/>
      <c r="S50" s="56"/>
      <c r="T50" s="301"/>
      <c r="U50" s="301"/>
      <c r="V50" s="56"/>
      <c r="W50" s="56"/>
      <c r="X50" s="56"/>
    </row>
    <row r="51" spans="1:167">
      <c r="C51" s="56"/>
      <c r="D51" s="56"/>
      <c r="E51" s="56"/>
      <c r="F51" s="56"/>
      <c r="G51" s="56"/>
      <c r="H51" s="56"/>
      <c r="I51" s="56"/>
      <c r="J51" s="56"/>
      <c r="K51" s="56"/>
      <c r="L51" s="56"/>
      <c r="M51" s="56"/>
      <c r="P51" s="56"/>
      <c r="Q51" s="56"/>
      <c r="R51" s="56"/>
      <c r="S51" s="56"/>
      <c r="T51" s="301"/>
      <c r="U51" s="301"/>
      <c r="V51" s="56"/>
      <c r="W51" s="56"/>
      <c r="X51" s="56"/>
    </row>
    <row r="52" spans="1:167">
      <c r="C52" s="56"/>
      <c r="D52" s="56"/>
      <c r="E52" s="56"/>
      <c r="F52" s="56"/>
      <c r="G52" s="56"/>
      <c r="H52" s="56"/>
      <c r="I52" s="56"/>
      <c r="J52" s="56"/>
      <c r="K52" s="56"/>
      <c r="L52" s="56"/>
      <c r="M52" s="56"/>
      <c r="P52" s="56"/>
      <c r="Q52" s="56"/>
      <c r="R52" s="56"/>
      <c r="S52" s="56"/>
      <c r="T52" s="301"/>
      <c r="U52" s="301"/>
      <c r="V52" s="56"/>
      <c r="W52" s="56"/>
      <c r="X52" s="56"/>
    </row>
    <row r="53" spans="1:167"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P53" s="56"/>
      <c r="Q53" s="56"/>
      <c r="R53" s="56"/>
      <c r="S53" s="56"/>
      <c r="T53" s="301"/>
      <c r="U53" s="301"/>
      <c r="V53" s="56"/>
      <c r="W53" s="56"/>
      <c r="X53" s="56"/>
      <c r="EG53" s="32" t="s">
        <v>863</v>
      </c>
    </row>
    <row r="54" spans="1:167"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403"/>
      <c r="O54" s="32" t="s">
        <v>851</v>
      </c>
      <c r="P54" s="56"/>
      <c r="Q54" s="56"/>
      <c r="R54" s="56"/>
      <c r="S54" s="56"/>
      <c r="T54" s="301"/>
      <c r="U54" s="301"/>
      <c r="V54" s="56"/>
      <c r="W54" s="56"/>
      <c r="X54" s="56"/>
      <c r="EF54" s="279"/>
      <c r="EG54" s="279" t="s">
        <v>601</v>
      </c>
    </row>
    <row r="55" spans="1:167">
      <c r="C55" s="56"/>
      <c r="D55" s="56"/>
      <c r="E55" s="56"/>
      <c r="F55" s="56"/>
      <c r="G55" s="56"/>
      <c r="H55" s="56"/>
      <c r="I55" s="56"/>
      <c r="J55" s="56"/>
      <c r="K55" s="56"/>
      <c r="L55" s="56"/>
      <c r="M55" s="56"/>
      <c r="P55" s="56"/>
      <c r="Q55" s="56"/>
      <c r="R55" s="56"/>
      <c r="S55" s="56"/>
      <c r="T55" s="301"/>
      <c r="U55" s="301"/>
      <c r="V55" s="56"/>
      <c r="W55" s="56"/>
      <c r="X55" s="56"/>
      <c r="EF55" s="279" t="s">
        <v>602</v>
      </c>
      <c r="EG55" s="293">
        <v>1</v>
      </c>
    </row>
    <row r="56" spans="1:167"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P56" s="56"/>
      <c r="Q56" s="56"/>
      <c r="R56" s="56"/>
      <c r="S56" s="56"/>
      <c r="T56" s="301"/>
      <c r="U56" s="301"/>
      <c r="V56" s="56"/>
      <c r="W56" s="56"/>
      <c r="X56" s="56"/>
    </row>
    <row r="57" spans="1:167"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P57" s="56"/>
      <c r="Q57" s="56"/>
      <c r="R57" s="56"/>
      <c r="S57" s="56"/>
      <c r="T57" s="301"/>
      <c r="U57" s="301"/>
      <c r="V57" s="56"/>
      <c r="W57" s="56"/>
      <c r="X57" s="56"/>
    </row>
    <row r="58" spans="1:167" s="227" customFormat="1" ht="25.5">
      <c r="A58" s="285">
        <v>2025</v>
      </c>
      <c r="B58" s="282"/>
      <c r="C58" s="283"/>
      <c r="D58" s="284"/>
      <c r="E58" s="284"/>
      <c r="F58" s="284"/>
      <c r="G58" s="284"/>
      <c r="H58" s="284"/>
      <c r="I58" s="284"/>
      <c r="K58" s="282"/>
      <c r="L58" s="282"/>
      <c r="M58" s="283"/>
      <c r="N58" s="284"/>
      <c r="O58" s="284"/>
      <c r="P58" s="284"/>
      <c r="Q58" s="284"/>
      <c r="R58" s="284"/>
      <c r="S58" s="284"/>
    </row>
    <row r="59" spans="1:167" ht="23.5" thickBot="1">
      <c r="A59" s="32" t="s">
        <v>468</v>
      </c>
      <c r="C59" t="s">
        <v>463</v>
      </c>
      <c r="D59" t="s">
        <v>467</v>
      </c>
      <c r="E59" t="s">
        <v>470</v>
      </c>
      <c r="F59" t="s">
        <v>465</v>
      </c>
      <c r="G59" t="s">
        <v>466</v>
      </c>
      <c r="H59" t="s">
        <v>21</v>
      </c>
      <c r="K59" s="32" t="s">
        <v>471</v>
      </c>
      <c r="CV59" s="32" t="s">
        <v>492</v>
      </c>
      <c r="CY59" t="s">
        <v>478</v>
      </c>
      <c r="CZ59" t="s">
        <v>479</v>
      </c>
      <c r="EK59" s="353" t="s">
        <v>859</v>
      </c>
      <c r="EU59" s="353" t="s">
        <v>745</v>
      </c>
      <c r="FD59" s="353"/>
    </row>
    <row r="60" spans="1:167">
      <c r="A60" t="s">
        <v>462</v>
      </c>
      <c r="C60" t="s">
        <v>427</v>
      </c>
      <c r="D60" t="s">
        <v>428</v>
      </c>
      <c r="E60" t="s">
        <v>429</v>
      </c>
      <c r="F60" t="s">
        <v>430</v>
      </c>
      <c r="G60" t="s">
        <v>431</v>
      </c>
      <c r="H60" t="s">
        <v>457</v>
      </c>
      <c r="K60" s="159" t="s">
        <v>482</v>
      </c>
      <c r="L60" s="159"/>
      <c r="M60" s="443" t="s">
        <v>463</v>
      </c>
      <c r="N60" s="444"/>
      <c r="O60" s="444"/>
      <c r="P60" s="444"/>
      <c r="Q60" s="444"/>
      <c r="R60" s="444"/>
      <c r="S60" s="444"/>
      <c r="T60" s="444"/>
      <c r="U60" s="444"/>
      <c r="V60" s="444"/>
      <c r="W60" s="444"/>
      <c r="X60" s="444"/>
      <c r="Y60" s="444"/>
      <c r="Z60" s="445"/>
      <c r="AA60" s="443" t="s">
        <v>467</v>
      </c>
      <c r="AB60" s="444"/>
      <c r="AC60" s="444"/>
      <c r="AD60" s="444"/>
      <c r="AE60" s="444"/>
      <c r="AF60" s="444"/>
      <c r="AG60" s="444"/>
      <c r="AH60" s="444"/>
      <c r="AI60" s="444"/>
      <c r="AJ60" s="444"/>
      <c r="AK60" s="444"/>
      <c r="AL60" s="444"/>
      <c r="AM60" s="444"/>
      <c r="AN60" s="445"/>
      <c r="AO60" s="443" t="s">
        <v>464</v>
      </c>
      <c r="AP60" s="444"/>
      <c r="AQ60" s="444"/>
      <c r="AR60" s="444"/>
      <c r="AS60" s="444"/>
      <c r="AT60" s="444"/>
      <c r="AU60" s="444"/>
      <c r="AV60" s="444"/>
      <c r="AW60" s="444"/>
      <c r="AX60" s="444"/>
      <c r="AY60" s="444"/>
      <c r="AZ60" s="444"/>
      <c r="BA60" s="444"/>
      <c r="BB60" s="445"/>
      <c r="BC60" s="443" t="s">
        <v>465</v>
      </c>
      <c r="BD60" s="444"/>
      <c r="BE60" s="444"/>
      <c r="BF60" s="444"/>
      <c r="BG60" s="444"/>
      <c r="BH60" s="444"/>
      <c r="BI60" s="444"/>
      <c r="BJ60" s="444"/>
      <c r="BK60" s="444"/>
      <c r="BL60" s="444"/>
      <c r="BM60" s="444"/>
      <c r="BN60" s="444"/>
      <c r="BO60" s="444"/>
      <c r="BP60" s="445"/>
      <c r="BQ60" s="443" t="s">
        <v>466</v>
      </c>
      <c r="BR60" s="444"/>
      <c r="BS60" s="444"/>
      <c r="BT60" s="444"/>
      <c r="BU60" s="444"/>
      <c r="BV60" s="444"/>
      <c r="BW60" s="444"/>
      <c r="BX60" s="444"/>
      <c r="BY60" s="444"/>
      <c r="BZ60" s="444"/>
      <c r="CA60" s="444"/>
      <c r="CB60" s="444"/>
      <c r="CC60" s="444"/>
      <c r="CD60" s="445"/>
      <c r="CE60" s="443" t="s">
        <v>21</v>
      </c>
      <c r="CF60" s="444"/>
      <c r="CG60" s="444"/>
      <c r="CH60" s="444"/>
      <c r="CI60" s="444"/>
      <c r="CJ60" s="444"/>
      <c r="CK60" s="444"/>
      <c r="CL60" s="444"/>
      <c r="CM60" s="444"/>
      <c r="CN60" s="444"/>
      <c r="CO60" s="444"/>
      <c r="CP60" s="444"/>
      <c r="CQ60" s="444"/>
      <c r="CR60" s="445"/>
      <c r="CV60" s="263" t="s">
        <v>482</v>
      </c>
      <c r="CW60" s="263"/>
      <c r="CX60" s="446" t="s">
        <v>554</v>
      </c>
      <c r="CY60" s="439"/>
      <c r="CZ60" s="439"/>
      <c r="DA60" s="440"/>
      <c r="DB60" s="438" t="s">
        <v>553</v>
      </c>
      <c r="DC60" s="439"/>
      <c r="DD60" s="439"/>
      <c r="DE60" s="440"/>
      <c r="DF60" s="438" t="s">
        <v>464</v>
      </c>
      <c r="DG60" s="439"/>
      <c r="DH60" s="439"/>
      <c r="DI60" s="440"/>
      <c r="DJ60" s="438" t="s">
        <v>465</v>
      </c>
      <c r="DK60" s="439"/>
      <c r="DL60" s="439"/>
      <c r="DM60" s="440"/>
      <c r="DN60" s="438" t="s">
        <v>466</v>
      </c>
      <c r="DO60" s="439"/>
      <c r="DP60" s="439"/>
      <c r="DQ60" s="440"/>
      <c r="DR60" s="438" t="s">
        <v>21</v>
      </c>
      <c r="DS60" s="439"/>
      <c r="DT60" s="439"/>
      <c r="DU60" s="441"/>
      <c r="DW60" s="278"/>
      <c r="DX60" s="278"/>
      <c r="DY60" s="442" t="s">
        <v>588</v>
      </c>
      <c r="DZ60" s="442"/>
      <c r="EB60" s="278"/>
      <c r="EC60" s="278"/>
      <c r="ED60" s="442" t="s">
        <v>588</v>
      </c>
      <c r="EE60" s="442"/>
      <c r="EI60" t="s">
        <v>599</v>
      </c>
    </row>
    <row r="61" spans="1:167">
      <c r="A61" s="199"/>
      <c r="B61" s="199"/>
      <c r="C61" s="202" t="s">
        <v>463</v>
      </c>
      <c r="D61" s="202" t="s">
        <v>467</v>
      </c>
      <c r="E61" s="202" t="s">
        <v>464</v>
      </c>
      <c r="F61" s="202" t="s">
        <v>465</v>
      </c>
      <c r="G61" s="202" t="s">
        <v>466</v>
      </c>
      <c r="H61" s="202" t="s">
        <v>21</v>
      </c>
      <c r="K61" s="159"/>
      <c r="L61" s="159"/>
      <c r="M61" s="211" t="s">
        <v>472</v>
      </c>
      <c r="N61" s="160" t="s">
        <v>156</v>
      </c>
      <c r="O61" s="160" t="s">
        <v>475</v>
      </c>
      <c r="P61" s="160" t="s">
        <v>476</v>
      </c>
      <c r="Q61" s="160" t="s">
        <v>477</v>
      </c>
      <c r="R61" s="160" t="s">
        <v>478</v>
      </c>
      <c r="S61" s="160" t="s">
        <v>479</v>
      </c>
      <c r="T61" s="160" t="s">
        <v>480</v>
      </c>
      <c r="U61" s="160" t="s">
        <v>449</v>
      </c>
      <c r="V61" s="160" t="s">
        <v>157</v>
      </c>
      <c r="W61" s="160" t="s">
        <v>473</v>
      </c>
      <c r="X61" s="160" t="s">
        <v>474</v>
      </c>
      <c r="Y61" s="160" t="s">
        <v>46</v>
      </c>
      <c r="Z61" s="212" t="s">
        <v>11</v>
      </c>
      <c r="AA61" s="211" t="s">
        <v>472</v>
      </c>
      <c r="AB61" s="160" t="s">
        <v>156</v>
      </c>
      <c r="AC61" s="160" t="s">
        <v>475</v>
      </c>
      <c r="AD61" s="160" t="s">
        <v>476</v>
      </c>
      <c r="AE61" s="160" t="s">
        <v>477</v>
      </c>
      <c r="AF61" s="160" t="s">
        <v>478</v>
      </c>
      <c r="AG61" s="160" t="s">
        <v>479</v>
      </c>
      <c r="AH61" s="160" t="s">
        <v>480</v>
      </c>
      <c r="AI61" s="160" t="s">
        <v>449</v>
      </c>
      <c r="AJ61" s="160" t="s">
        <v>157</v>
      </c>
      <c r="AK61" s="160" t="s">
        <v>473</v>
      </c>
      <c r="AL61" s="160" t="s">
        <v>474</v>
      </c>
      <c r="AM61" s="160" t="s">
        <v>46</v>
      </c>
      <c r="AN61" s="212" t="s">
        <v>11</v>
      </c>
      <c r="AO61" s="211" t="s">
        <v>472</v>
      </c>
      <c r="AP61" s="160" t="s">
        <v>156</v>
      </c>
      <c r="AQ61" s="160" t="s">
        <v>475</v>
      </c>
      <c r="AR61" s="160" t="s">
        <v>476</v>
      </c>
      <c r="AS61" s="160" t="s">
        <v>477</v>
      </c>
      <c r="AT61" s="160" t="s">
        <v>478</v>
      </c>
      <c r="AU61" s="160" t="s">
        <v>479</v>
      </c>
      <c r="AV61" s="160" t="s">
        <v>480</v>
      </c>
      <c r="AW61" s="160" t="s">
        <v>449</v>
      </c>
      <c r="AX61" s="160" t="s">
        <v>157</v>
      </c>
      <c r="AY61" s="160" t="s">
        <v>473</v>
      </c>
      <c r="AZ61" s="160" t="s">
        <v>474</v>
      </c>
      <c r="BA61" s="160" t="s">
        <v>46</v>
      </c>
      <c r="BB61" s="212" t="s">
        <v>11</v>
      </c>
      <c r="BC61" s="211" t="s">
        <v>472</v>
      </c>
      <c r="BD61" s="160" t="s">
        <v>156</v>
      </c>
      <c r="BE61" s="160" t="s">
        <v>475</v>
      </c>
      <c r="BF61" s="160" t="s">
        <v>476</v>
      </c>
      <c r="BG61" s="160" t="s">
        <v>477</v>
      </c>
      <c r="BH61" s="160" t="s">
        <v>478</v>
      </c>
      <c r="BI61" s="160" t="s">
        <v>479</v>
      </c>
      <c r="BJ61" s="160" t="s">
        <v>480</v>
      </c>
      <c r="BK61" s="160" t="s">
        <v>449</v>
      </c>
      <c r="BL61" s="160" t="s">
        <v>157</v>
      </c>
      <c r="BM61" s="160" t="s">
        <v>473</v>
      </c>
      <c r="BN61" s="160" t="s">
        <v>474</v>
      </c>
      <c r="BO61" s="160" t="s">
        <v>46</v>
      </c>
      <c r="BP61" s="212" t="s">
        <v>11</v>
      </c>
      <c r="BQ61" s="211" t="s">
        <v>472</v>
      </c>
      <c r="BR61" s="160" t="s">
        <v>156</v>
      </c>
      <c r="BS61" s="160" t="s">
        <v>475</v>
      </c>
      <c r="BT61" s="160" t="s">
        <v>476</v>
      </c>
      <c r="BU61" s="160" t="s">
        <v>477</v>
      </c>
      <c r="BV61" s="160" t="s">
        <v>478</v>
      </c>
      <c r="BW61" s="160" t="s">
        <v>479</v>
      </c>
      <c r="BX61" s="160" t="s">
        <v>480</v>
      </c>
      <c r="BY61" s="160" t="s">
        <v>449</v>
      </c>
      <c r="BZ61" s="160" t="s">
        <v>157</v>
      </c>
      <c r="CA61" s="160" t="s">
        <v>473</v>
      </c>
      <c r="CB61" s="160" t="s">
        <v>474</v>
      </c>
      <c r="CC61" s="160" t="s">
        <v>46</v>
      </c>
      <c r="CD61" s="212" t="s">
        <v>11</v>
      </c>
      <c r="CE61" s="211" t="s">
        <v>472</v>
      </c>
      <c r="CF61" s="160" t="s">
        <v>156</v>
      </c>
      <c r="CG61" s="160" t="s">
        <v>475</v>
      </c>
      <c r="CH61" s="160" t="s">
        <v>476</v>
      </c>
      <c r="CI61" s="160" t="s">
        <v>477</v>
      </c>
      <c r="CJ61" s="160" t="s">
        <v>478</v>
      </c>
      <c r="CK61" s="160" t="s">
        <v>479</v>
      </c>
      <c r="CL61" s="160" t="s">
        <v>480</v>
      </c>
      <c r="CM61" s="160" t="s">
        <v>449</v>
      </c>
      <c r="CN61" s="160" t="s">
        <v>157</v>
      </c>
      <c r="CO61" s="160" t="s">
        <v>473</v>
      </c>
      <c r="CP61" s="160" t="s">
        <v>474</v>
      </c>
      <c r="CQ61" s="160" t="s">
        <v>46</v>
      </c>
      <c r="CR61" s="212" t="s">
        <v>11</v>
      </c>
      <c r="CV61" s="263"/>
      <c r="CW61" s="263"/>
      <c r="CX61" s="264" t="s">
        <v>156</v>
      </c>
      <c r="CY61" s="264" t="s">
        <v>478</v>
      </c>
      <c r="CZ61" s="264" t="s">
        <v>479</v>
      </c>
      <c r="DA61" s="264" t="s">
        <v>157</v>
      </c>
      <c r="DB61" s="264" t="s">
        <v>156</v>
      </c>
      <c r="DC61" s="264" t="s">
        <v>478</v>
      </c>
      <c r="DD61" s="264" t="s">
        <v>479</v>
      </c>
      <c r="DE61" s="264" t="s">
        <v>157</v>
      </c>
      <c r="DF61" s="264" t="s">
        <v>156</v>
      </c>
      <c r="DG61" s="264" t="s">
        <v>478</v>
      </c>
      <c r="DH61" s="264" t="s">
        <v>479</v>
      </c>
      <c r="DI61" s="264" t="s">
        <v>157</v>
      </c>
      <c r="DJ61" s="264" t="s">
        <v>156</v>
      </c>
      <c r="DK61" s="264" t="s">
        <v>478</v>
      </c>
      <c r="DL61" s="264" t="s">
        <v>479</v>
      </c>
      <c r="DM61" s="264" t="s">
        <v>157</v>
      </c>
      <c r="DN61" s="264" t="s">
        <v>156</v>
      </c>
      <c r="DO61" s="264" t="s">
        <v>478</v>
      </c>
      <c r="DP61" s="264" t="s">
        <v>479</v>
      </c>
      <c r="DQ61" s="264" t="s">
        <v>157</v>
      </c>
      <c r="DR61" s="264" t="s">
        <v>156</v>
      </c>
      <c r="DS61" s="264" t="s">
        <v>478</v>
      </c>
      <c r="DT61" s="264" t="s">
        <v>479</v>
      </c>
      <c r="DU61" s="264" t="s">
        <v>157</v>
      </c>
      <c r="DW61" s="278"/>
      <c r="DX61" s="278"/>
      <c r="DY61" s="280" t="s">
        <v>585</v>
      </c>
      <c r="DZ61" s="280" t="s">
        <v>259</v>
      </c>
      <c r="EB61" s="278"/>
      <c r="EC61" s="278"/>
      <c r="ED61" s="280" t="s">
        <v>585</v>
      </c>
      <c r="EE61" s="280" t="s">
        <v>259</v>
      </c>
      <c r="EK61" s="420" t="s">
        <v>564</v>
      </c>
      <c r="EL61" s="420"/>
      <c r="EM61" s="420" t="s">
        <v>565</v>
      </c>
      <c r="EN61" s="420" t="s">
        <v>566</v>
      </c>
      <c r="EO61" s="420" t="s">
        <v>562</v>
      </c>
      <c r="EP61" s="421" t="s">
        <v>597</v>
      </c>
      <c r="EQ61" s="421" t="s">
        <v>585</v>
      </c>
      <c r="ER61" s="421" t="s">
        <v>604</v>
      </c>
      <c r="ES61" s="424" t="s">
        <v>866</v>
      </c>
      <c r="EU61" s="306" t="s">
        <v>564</v>
      </c>
      <c r="EV61" s="306"/>
      <c r="EW61" s="306" t="s">
        <v>565</v>
      </c>
      <c r="EX61" s="306" t="s">
        <v>566</v>
      </c>
      <c r="EY61" s="306" t="s">
        <v>562</v>
      </c>
      <c r="EZ61" s="307" t="s">
        <v>597</v>
      </c>
      <c r="FA61" s="307" t="s">
        <v>585</v>
      </c>
      <c r="FB61" s="307" t="s">
        <v>259</v>
      </c>
      <c r="FD61" s="101"/>
      <c r="FE61" s="101"/>
      <c r="FF61" s="101"/>
      <c r="FG61" s="101"/>
      <c r="FH61" s="101"/>
      <c r="FI61" s="374"/>
      <c r="FJ61" s="374"/>
      <c r="FK61" s="374"/>
    </row>
    <row r="62" spans="1:167">
      <c r="A62" s="205" t="s">
        <v>605</v>
      </c>
      <c r="B62" s="205" t="s">
        <v>606</v>
      </c>
      <c r="C62" s="201">
        <f>$L29*KTDB_TripDistribution_2035!L$12</f>
        <v>210.96027685005282</v>
      </c>
      <c r="D62" s="201">
        <f>$L29*KTDB_TripDistribution_2035!M$12</f>
        <v>1640.455245204924</v>
      </c>
      <c r="E62" s="201">
        <f>$L29*KTDB_TripDistribution_2035!N$12</f>
        <v>72.713757988899005</v>
      </c>
      <c r="F62" s="201">
        <f>$L29*KTDB_TripDistribution_2035!O$12</f>
        <v>0.19718985217328469</v>
      </c>
      <c r="G62" s="201">
        <f>$L29*KTDB_TripDistribution_2035!P$12</f>
        <v>0.55870458115764166</v>
      </c>
      <c r="H62" s="201">
        <f>$K29*KTDB_TripDistribution_2035!Q$12</f>
        <v>1924.8851744772069</v>
      </c>
      <c r="J62" s="230">
        <f t="shared" ref="J62:J66" si="12">CR62</f>
        <v>1924.8851744772071</v>
      </c>
      <c r="K62" s="206" t="s">
        <v>605</v>
      </c>
      <c r="L62" s="206" t="s">
        <v>606</v>
      </c>
      <c r="M62" s="206">
        <f>INDEX($A$61:$H$74,MATCH($L62,$B$61:$B$74,0),MATCH($M$60,$A$61:$H$61,0))*고양시_Modal_split!C$3 * 0.01</f>
        <v>0.59068877518014784</v>
      </c>
      <c r="N62" s="206">
        <f>INDEX($A$61:$H$74,MATCH($L62,$B$61:$B$74,0),MATCH($M$60,$A$61:$H$61,0))*고양시_Modal_split!D$3 * 0.01</f>
        <v>99.214618202579842</v>
      </c>
      <c r="O62" s="206">
        <f>INDEX($A$61:$H$74,MATCH($L62,$B$61:$B$74,0),MATCH($M$60,$A$61:$H$61,0))*고양시_Modal_split!E$3 * 0.01</f>
        <v>12.003639752768004</v>
      </c>
      <c r="P62" s="206">
        <f>INDEX($A$61:$H$74,MATCH($L62,$B$61:$B$74,0),MATCH($M$60,$A$61:$H$61,0))*고양시_Modal_split!F$3 * 0.01</f>
        <v>19.345057387149843</v>
      </c>
      <c r="Q62" s="206">
        <f>INDEX($A$61:$H$74,MATCH($L62,$B$61:$B$74,0),MATCH($M$60,$A$61:$H$61,0))*고양시_Modal_split!G$3 * 0.01</f>
        <v>1.940834547020486</v>
      </c>
      <c r="R62" s="206">
        <f>INDEX($A$61:$H$74,MATCH($L62,$B$61:$B$74,0),MATCH($M$60,$A$61:$H$61,0))*고양시_Modal_split!H$3 * 0.01</f>
        <v>2.1096027685005285E-2</v>
      </c>
      <c r="S62" s="206">
        <f>INDEX($A$61:$H$74,MATCH($L62,$B$61:$B$74,0),MATCH($M$60,$A$61:$H$61,0))*고양시_Modal_split!I$3 * 0.01</f>
        <v>5.8646956964314674</v>
      </c>
      <c r="T62" s="206">
        <f>INDEX($A$61:$H$74,MATCH($L62,$B$61:$B$74,0),MATCH($M$60,$A$61:$H$61,0))*고양시_Modal_split!J$3 * 0.01</f>
        <v>64.216308273156088</v>
      </c>
      <c r="U62" s="206">
        <f>INDEX($A$61:$H$74,MATCH($L62,$B$61:$B$74,0),MATCH($M$60,$A$61:$H$61,0))*고양시_Modal_split!K$3 * 0.01</f>
        <v>0.31644041527507921</v>
      </c>
      <c r="V62" s="206">
        <f>INDEX($A$61:$H$74,MATCH($L62,$B$61:$B$74,0),MATCH($M$60,$A$61:$H$61,0))*고양시_Modal_split!L$3 * 0.01</f>
        <v>6.3710003608715953</v>
      </c>
      <c r="W62" s="206">
        <f>INDEX($A$61:$H$74,MATCH($L62,$B$61:$B$74,0),MATCH($M$60,$A$61:$H$61,0))*고양시_Modal_split!M$3 * 0.01</f>
        <v>0.48520863675512149</v>
      </c>
      <c r="X62" s="206">
        <f>INDEX($A$61:$H$74,MATCH($L62,$B$61:$B$74,0),MATCH($M$60,$A$61:$H$61,0))*고양시_Modal_split!N$3 * 0.01</f>
        <v>0.21096027685005284</v>
      </c>
      <c r="Y62" s="206">
        <f>INDEX($A$61:$H$74,MATCH($L62,$B$61:$B$74,0),MATCH($M$60,$A$61:$H$61,0))*고양시_Modal_split!O$3 * 0.01</f>
        <v>0.37972849833009503</v>
      </c>
      <c r="Z62" s="209">
        <f>INDEX($A$61:$H$74,MATCH($L62,$B$61:$B$74,0),MATCH($M$60,$A$61:$H$61,0))*고양시_Modal_split!P$3 * 0.01</f>
        <v>210.96027685005285</v>
      </c>
      <c r="AA62" s="207">
        <f>INDEX($A$61:$H$74,MATCH($L62,$B$61:$B$74,0),MATCH($AA$60,$A$61:$H$61,0))*고양시_Modal_split!C$3 * 0.01</f>
        <v>4.5932746865737872</v>
      </c>
      <c r="AB62" s="207">
        <f>INDEX($A$61:$H$74,MATCH($L62,$B$61:$B$74,0),MATCH($AA$60,$A$61:$H$61,0))*고양시_Modal_split!D$3 * 0.01</f>
        <v>771.50610181987577</v>
      </c>
      <c r="AC62" s="207">
        <f>INDEX($A$61:$H$74,MATCH($L62,$B$61:$B$74,0),MATCH($AA$60,$A$61:$H$61,0))*고양시_Modal_split!E$3 * 0.01</f>
        <v>93.341903452160167</v>
      </c>
      <c r="AD62" s="207">
        <f>INDEX($A$61:$H$74,MATCH($L62,$B$61:$B$74,0),MATCH($AA$60,$A$61:$H$61,0))*고양시_Modal_split!F$3 * 0.01</f>
        <v>150.42974598529153</v>
      </c>
      <c r="AE62" s="207">
        <f>INDEX($A$61:$H$74,MATCH($L62,$B$61:$B$74,0),MATCH($AA$60,$A$61:$H$61,0))*고양시_Modal_split!G$3 * 0.01</f>
        <v>15.092188255885301</v>
      </c>
      <c r="AF62" s="207">
        <f>INDEX($A$61:$H$74,MATCH($L62,$B$61:$B$74,0),MATCH($AA$60,$A$61:$H$61,0))*고양시_Modal_split!H$3 * 0.01</f>
        <v>0.16404552452049243</v>
      </c>
      <c r="AG62" s="207">
        <f>INDEX($A$61:$H$74,MATCH($L62,$B$61:$B$74,0),MATCH($AA$60,$A$61:$H$61,0))*고양시_Modal_split!I$3 * 0.01</f>
        <v>45.604655816696884</v>
      </c>
      <c r="AH62" s="207">
        <f>INDEX($A$61:$H$74,MATCH($L62,$B$61:$B$74,0),MATCH($AA$60,$A$61:$H$61,0))*고양시_Modal_split!J$3 * 0.01</f>
        <v>499.35457664037887</v>
      </c>
      <c r="AI62" s="207">
        <f>INDEX($A$61:$H$74,MATCH($L62,$B$61:$B$74,0),MATCH($AA$60,$A$61:$H$61,0))*고양시_Modal_split!K$3 * 0.01</f>
        <v>2.4606828678073858</v>
      </c>
      <c r="AJ62" s="207">
        <f>INDEX($A$61:$H$74,MATCH($L62,$B$61:$B$74,0),MATCH($AA$60,$A$61:$H$61,0))*고양시_Modal_split!L$3 * 0.01</f>
        <v>49.541748405188713</v>
      </c>
      <c r="AK62" s="207">
        <f>INDEX($A$61:$H$74,MATCH($L62,$B$61:$B$74,0),MATCH($AA$60,$A$61:$H$61,0))*고양시_Modal_split!M$3 * 0.01</f>
        <v>3.7730470639713252</v>
      </c>
      <c r="AL62" s="207">
        <f>INDEX($A$61:$H$74,MATCH($L62,$B$61:$B$74,0),MATCH($AA$60,$A$61:$H$61,0))*고양시_Modal_split!N$3 * 0.01</f>
        <v>1.6404552452049241</v>
      </c>
      <c r="AM62" s="207">
        <f>INDEX($A$61:$H$74,MATCH($L62,$B$61:$B$74,0),MATCH($AA$60,$A$61:$H$61,0))*고양시_Modal_split!O$3 * 0.01</f>
        <v>2.9528194413688631</v>
      </c>
      <c r="AN62" s="207">
        <f>INDEX($A$61:$H$74,MATCH($L62,$B$61:$B$74,0),MATCH($AA$60,$A$61:$H$61,0))*고양시_Modal_split!P$3 * 0.01</f>
        <v>1640.4552452049243</v>
      </c>
      <c r="AO62" s="303">
        <f>INDEX($A$61:$H$74,MATCH($L62,$B$61:$B$74,0),MATCH($AO$60,$A$61:$H$61,0))*고양시_Modal_split!C$3 * 0.01</f>
        <v>0.20359852236891718</v>
      </c>
      <c r="AP62" s="303">
        <f>INDEX($A$61:$H$74,MATCH($L62,$B$61:$B$74,0),MATCH($AO$60,$A$61:$H$61,0))*고양시_Modal_split!D$3 * 0.01</f>
        <v>34.197280382179201</v>
      </c>
      <c r="AQ62" s="303">
        <f>INDEX($A$61:$H$74,MATCH($L62,$B$61:$B$74,0),MATCH($AO$60,$A$61:$H$61,0))*고양시_Modal_split!E$3 * 0.01</f>
        <v>4.137412829568353</v>
      </c>
      <c r="AR62" s="303">
        <f>INDEX($A$61:$H$74,MATCH($L62,$B$61:$B$74,0),MATCH($AO$60,$A$61:$H$61,0))*고양시_Modal_split!F$3 * 0.01</f>
        <v>6.6678516075820395</v>
      </c>
      <c r="AS62" s="303">
        <f>INDEX($A$61:$H$74,MATCH($L62,$B$61:$B$74,0),MATCH($AO$60,$A$61:$H$61,0))*고양시_Modal_split!G$3 * 0.01</f>
        <v>0.66896657349787081</v>
      </c>
      <c r="AT62" s="303">
        <f>INDEX($A$61:$H$74,MATCH($L62,$B$61:$B$74,0),MATCH($AO$60,$A$61:$H$61,0))*고양시_Modal_split!H$3 * 0.01</f>
        <v>7.2713757988899013E-3</v>
      </c>
      <c r="AU62" s="303">
        <f>INDEX($A$61:$H$74,MATCH($L62,$B$61:$B$74,0),MATCH($AO$60,$A$61:$H$61,0))*고양시_Modal_split!I$3 * 0.01</f>
        <v>2.0214424720913922</v>
      </c>
      <c r="AV62" s="303">
        <f>INDEX($A$61:$H$74,MATCH($L62,$B$61:$B$74,0),MATCH($AO$60,$A$61:$H$61,0))*고양시_Modal_split!J$3 * 0.01</f>
        <v>22.134067931820859</v>
      </c>
      <c r="AW62" s="303">
        <f>INDEX($A$61:$H$74,MATCH($L62,$B$61:$B$74,0),MATCH($AO$60,$A$61:$H$61,0))*고양시_Modal_split!K$3 * 0.01</f>
        <v>0.10907063698334851</v>
      </c>
      <c r="AX62" s="303">
        <f>INDEX($A$61:$H$74,MATCH($L62,$B$61:$B$74,0),MATCH($AO$60,$A$61:$H$61,0))*고양시_Modal_split!L$3 * 0.01</f>
        <v>2.1959554912647499</v>
      </c>
      <c r="AY62" s="303">
        <f>INDEX($A$61:$H$74,MATCH($L62,$B$61:$B$74,0),MATCH($AO$60,$A$61:$H$61,0))*고양시_Modal_split!M$3 * 0.01</f>
        <v>0.1672416433744677</v>
      </c>
      <c r="AZ62" s="303">
        <f>INDEX($A$61:$H$74,MATCH($L62,$B$61:$B$74,0),MATCH($AO$60,$A$61:$H$61,0))*고양시_Modal_split!N$3 * 0.01</f>
        <v>7.2713757988899008E-2</v>
      </c>
      <c r="BA62" s="207">
        <f>INDEX($A$61:$H$74,MATCH($L62,$B$61:$B$74,0),MATCH($AO$60,$A$61:$H$61,0))*고양시_Modal_split!O$3 * 0.01</f>
        <v>0.1308847643800182</v>
      </c>
      <c r="BB62" s="207">
        <f>INDEX($A$61:$H$74,MATCH($L62,$B$61:$B$74,0),MATCH($AO$60,$A$61:$H$61,0))*고양시_Modal_split!P$3 * 0.01</f>
        <v>72.713757988899005</v>
      </c>
      <c r="BC62" s="207">
        <f>INDEX($A$61:$H$74,MATCH($L62,$B$61:$B$74,0),MATCH($BC$60,$A$61:$H$61,0))*고양시_Modal_split!C$3 * 0.01</f>
        <v>5.5213158608519706E-4</v>
      </c>
      <c r="BD62" s="207">
        <f>INDEX($A$61:$H$74,MATCH($L62,$B$61:$B$74,0),MATCH($BC$60,$A$61:$H$61,0))*고양시_Modal_split!D$3 * 0.01</f>
        <v>9.2738387477095799E-2</v>
      </c>
      <c r="BE62" s="207">
        <f>INDEX($A$61:$H$74,MATCH($L62,$B$61:$B$74,0),MATCH($BC$60,$A$61:$H$61,0))*고양시_Modal_split!E$3 * 0.01</f>
        <v>1.1220102588659898E-2</v>
      </c>
      <c r="BF62" s="207">
        <f>INDEX($A$61:$H$74,MATCH($L62,$B$61:$B$74,0),MATCH($BC$60,$A$61:$H$61,0))*고양시_Modal_split!F$3 * 0.01</f>
        <v>1.8082309444290207E-2</v>
      </c>
      <c r="BG62" s="207">
        <f>INDEX($A$61:$H$74,MATCH($L62,$B$61:$B$74,0),MATCH($BC$60,$A$61:$H$61,0))*고양시_Modal_split!G$3 * 0.01</f>
        <v>1.8141466399942191E-3</v>
      </c>
      <c r="BH62" s="207">
        <f>INDEX($A$61:$H$74,MATCH($L62,$B$61:$B$74,0),MATCH($BC$60,$A$61:$H$61,0))*고양시_Modal_split!H$3 * 0.01</f>
        <v>1.9718985217328469E-5</v>
      </c>
      <c r="BI62" s="207">
        <f>INDEX($A$61:$H$74,MATCH($L62,$B$61:$B$74,0),MATCH($BC$60,$A$61:$H$61,0))*고양시_Modal_split!I$3 * 0.01</f>
        <v>5.4818778904173141E-3</v>
      </c>
      <c r="BJ62" s="207">
        <f>INDEX($A$61:$H$74,MATCH($L62,$B$61:$B$74,0),MATCH($BC$60,$A$61:$H$61,0))*고양시_Modal_split!J$3 * 0.01</f>
        <v>6.0024591001547868E-2</v>
      </c>
      <c r="BK62" s="207">
        <f>INDEX($A$61:$H$74,MATCH($L62,$B$61:$B$74,0),MATCH($BC$60,$A$61:$H$61,0))*고양시_Modal_split!K$3 * 0.01</f>
        <v>2.9578477825992704E-4</v>
      </c>
      <c r="BL62" s="207">
        <f>INDEX($A$61:$H$74,MATCH($L62,$B$61:$B$74,0),MATCH($BC$60,$A$61:$H$61,0))*고양시_Modal_split!L$3 * 0.01</f>
        <v>5.955133535633198E-3</v>
      </c>
      <c r="BM62" s="207">
        <f>INDEX($A$61:$H$74,MATCH($L62,$B$61:$B$74,0),MATCH($BC$60,$A$61:$H$61,0))*고양시_Modal_split!M$3 * 0.01</f>
        <v>4.5353665999855477E-4</v>
      </c>
      <c r="BN62" s="207">
        <f>INDEX($A$61:$H$74,MATCH($L62,$B$61:$B$74,0),MATCH($BC$60,$A$61:$H$61,0))*고양시_Modal_split!N$3 * 0.01</f>
        <v>1.971898521732847E-4</v>
      </c>
      <c r="BO62" s="207">
        <f>INDEX($A$61:$H$74,MATCH($L62,$B$61:$B$74,0),MATCH($BC$60,$A$61:$H$61,0))*고양시_Modal_split!O$3 * 0.01</f>
        <v>3.5494173391191242E-4</v>
      </c>
      <c r="BP62" s="207">
        <f>INDEX($A$61:$H$74,MATCH($L62,$B$61:$B$74,0),MATCH($BC$60,$A$61:$H$61,0))*고양시_Modal_split!P$3 * 0.01</f>
        <v>0.19718985217328469</v>
      </c>
      <c r="BQ62" s="207">
        <f>INDEX($A$61:$H$74,MATCH($L62,$B$61:$B$74,0),MATCH($BQ$60,$A$61:$H$61,0))*고양시_Modal_split!C$3 * 0.01</f>
        <v>1.5643728272413965E-3</v>
      </c>
      <c r="BR62" s="207">
        <f>INDEX($A$61:$H$74,MATCH($L62,$B$61:$B$74,0),MATCH($BQ$60,$A$61:$H$61,0))*고양시_Modal_split!D$3 * 0.01</f>
        <v>0.26275876451843888</v>
      </c>
      <c r="BS62" s="207">
        <f>INDEX($A$61:$H$74,MATCH($L62,$B$61:$B$74,0),MATCH($BQ$60,$A$61:$H$61,0))*고양시_Modal_split!E$3 * 0.01</f>
        <v>3.1790290667869807E-2</v>
      </c>
      <c r="BT62" s="207">
        <f>INDEX($A$61:$H$74,MATCH($L62,$B$61:$B$74,0),MATCH($BQ$60,$A$61:$H$61,0))*고양시_Modal_split!F$3 * 0.01</f>
        <v>5.1233210092155743E-2</v>
      </c>
      <c r="BU62" s="207">
        <f>INDEX($A$61:$H$74,MATCH($L62,$B$61:$B$74,0),MATCH($BQ$60,$A$61:$H$61,0))*고양시_Modal_split!G$3 * 0.01</f>
        <v>5.1400821466503037E-3</v>
      </c>
      <c r="BV62" s="207">
        <f>INDEX($A$61:$H$74,MATCH($L62,$B$61:$B$74,0),MATCH($BQ$60,$A$61:$H$61,0))*고양시_Modal_split!H$3 * 0.01</f>
        <v>5.5870458115764167E-5</v>
      </c>
      <c r="BW62" s="207">
        <f>INDEX($A$61:$H$74,MATCH($L62,$B$61:$B$74,0),MATCH($BQ$60,$A$61:$H$61,0))*고양시_Modal_split!I$3 * 0.01</f>
        <v>1.5531987356182438E-2</v>
      </c>
      <c r="BX62" s="207">
        <f>INDEX($A$61:$H$74,MATCH($L62,$B$61:$B$74,0),MATCH($BQ$60,$A$61:$H$61,0))*고양시_Modal_split!J$3 * 0.01</f>
        <v>0.17006967450438612</v>
      </c>
      <c r="BY62" s="207">
        <f>INDEX($A$61:$H$74,MATCH($L62,$B$61:$B$74,0),MATCH($BQ$60,$A$61:$H$61,0))*고양시_Modal_split!K$3 * 0.01</f>
        <v>8.3805687173646242E-4</v>
      </c>
      <c r="BZ62" s="207">
        <f>INDEX($A$61:$H$74,MATCH($L62,$B$61:$B$74,0),MATCH($BQ$60,$A$61:$H$61,0))*고양시_Modal_split!L$3 * 0.01</f>
        <v>1.6872878350960779E-2</v>
      </c>
      <c r="CA62" s="207">
        <f>INDEX($A$61:$H$74,MATCH($L62,$B$61:$B$74,0),MATCH($BQ$60,$A$61:$H$61,0))*고양시_Modal_split!M$3 * 0.01</f>
        <v>1.2850205366625759E-3</v>
      </c>
      <c r="CB62" s="207">
        <f>INDEX($A$61:$H$74,MATCH($L62,$B$61:$B$74,0),MATCH($BQ$60,$A$61:$H$61,0))*고양시_Modal_split!N$3 * 0.01</f>
        <v>5.5870458115764169E-4</v>
      </c>
      <c r="CC62" s="207">
        <f>INDEX($A$61:$H$74,MATCH($L62,$B$61:$B$74,0),MATCH($BQ$60,$A$61:$H$61,0))*고양시_Modal_split!O$3 * 0.01</f>
        <v>1.0056682460837549E-3</v>
      </c>
      <c r="CD62" s="207">
        <f>INDEX($A$61:$H$74,MATCH($L62,$B$61:$B$74,0),MATCH($BQ$60,$A$61:$H$61,0))*고양시_Modal_split!P$3 * 0.01</f>
        <v>0.55870458115764166</v>
      </c>
      <c r="CE62" s="304">
        <f>M62+AA62+AO62+BC62+BQ62</f>
        <v>5.3896784885361786</v>
      </c>
      <c r="CF62" s="304">
        <f t="shared" ref="CF62:CF74" si="13">N62+AB62+AP62+BD62+BR62</f>
        <v>905.27349755663033</v>
      </c>
      <c r="CG62" s="304">
        <f t="shared" ref="CG62:CG74" si="14">O62+AC62+AQ62+BE62+BS62</f>
        <v>109.52596642775306</v>
      </c>
      <c r="CH62" s="304">
        <f t="shared" ref="CH62:CH74" si="15">P62+AD62+AR62+BF62+BT62</f>
        <v>176.51197049955985</v>
      </c>
      <c r="CI62" s="304">
        <f t="shared" ref="CI62:CI74" si="16">Q62+AE62+AS62+BG62+BU62</f>
        <v>17.708943605190303</v>
      </c>
      <c r="CJ62" s="304">
        <f t="shared" ref="CJ62:CJ74" si="17">R62+AF62+AT62+BH62+BV62</f>
        <v>0.19248851744772069</v>
      </c>
      <c r="CK62" s="304">
        <f t="shared" ref="CK62:CK74" si="18">S62+AG62+AU62+BI62+BW62</f>
        <v>53.511807850466347</v>
      </c>
      <c r="CL62" s="304">
        <f t="shared" ref="CL62:CL74" si="19">T62+AH62+AV62+BJ62+BX62</f>
        <v>585.93504711086177</v>
      </c>
      <c r="CM62" s="304">
        <f t="shared" ref="CM62:CM74" si="20">U62+AI62+AW62+BK62+BY62</f>
        <v>2.88732776171581</v>
      </c>
      <c r="CN62" s="304">
        <f t="shared" ref="CN62:CN74" si="21">V62+AJ62+AX62+BL62+BZ62</f>
        <v>58.131532269211654</v>
      </c>
      <c r="CO62" s="304">
        <f t="shared" ref="CO62:CO74" si="22">W62+AK62+AY62+BM62+CA62</f>
        <v>4.4272359012975757</v>
      </c>
      <c r="CP62" s="304">
        <f t="shared" ref="CP62:CP74" si="23">X62+AL62+AZ62+BN62+CB62</f>
        <v>1.9248851744772071</v>
      </c>
      <c r="CQ62" s="304">
        <f t="shared" ref="CQ62:CQ74" si="24">Y62+AM62+BA62+BO62+CC62</f>
        <v>3.4647933140589724</v>
      </c>
      <c r="CR62" s="304">
        <f t="shared" ref="CR62:CR74" si="25">Z62+AN62+BB62+BP62+CD62</f>
        <v>1924.8851744772071</v>
      </c>
      <c r="CS62" s="305">
        <f>H62-CR62</f>
        <v>0</v>
      </c>
      <c r="CV62" s="265" t="s">
        <v>605</v>
      </c>
      <c r="CW62" s="265" t="s">
        <v>606</v>
      </c>
      <c r="CX62" s="267">
        <f>INDEX($M$60:$Z$74,MATCH($CW62,$L$60:$L$74,0),MATCH(CX$61,$M$61:$Z$61,0))/INDEX(고양시_재차인원!$D$4:$H$35,MATCH("고양시",고양시_재차인원!$B$4:$B$35,0),MATCH($CX$60,고양시_재차인원!$D$4:$H$4,0))</f>
        <v>88.584480538017715</v>
      </c>
      <c r="CY62" s="267">
        <f>INDEX($M$60:$Z$74,MATCH($CW62,$L$60:$L$74,0),MATCH(CY$61,$M$61:$Z$61,0))/INDEX(고양시_재차인원!$K$4:$O$20,MATCH("경기도",고양시_재차인원!$K$4:$K$20,0),MATCH($CY$61,고양시_재차인원!$K$4:$O$4,0))</f>
        <v>7.3275539023985017E-4</v>
      </c>
      <c r="CZ62" s="267">
        <f>INDEX($M$60:$Z$74,MATCH($CW62,$L$60:$L$74,0),MATCH(CZ$61,$M$61:$Z$61,0))/INDEX(고양시_재차인원!$K$4:$O$20,MATCH("경기도",고양시_재차인원!$K$4:$K$20,0),MATCH($CZ$61,고양시_재차인원!$K$4:$O$4,0))</f>
        <v>0.20370599848667828</v>
      </c>
      <c r="DA62" s="267">
        <f>INDEX($M$60:$Z$74,MATCH($CW62,$L$60:$L$74,0),MATCH(DA$61,$M$61:$Z$61,0))/INDEX(고양시_재차인원!$D$4:$H$35,MATCH("고양시",고양시_재차인원!$B$4:$B$35,0),MATCH($CX$60,고양시_재차인원!$D$4:$H$4,0))</f>
        <v>5.6883931793496378</v>
      </c>
      <c r="DB62" s="267">
        <f>INDEX($AA$60:$AN$74,MATCH($CW62,$L$60:$L$74,0),MATCH(DB$61,$AA$61:$AN$61,0))/INDEX(고양시_재차인원!$D$4:$H$35,MATCH("고양시",고양시_재차인원!$B$4:$B$35,0),MATCH($DB$60,고양시_재차인원!$D$4:$H$4,0))</f>
        <v>547.16744809920272</v>
      </c>
      <c r="DC62" s="267">
        <f>INDEX($AA$60:$AN$74,MATCH($CW62,$L$60:$L$74,0),MATCH(DC$61,$AA$61:$AN$61,0))/INDEX(고양시_재차인원!$K$4:$O$20,MATCH("경기도",고양시_재차인원!$K$4:$K$20,0),MATCH($DC$61,고양시_재차인원!$K$4:$O$4,0))</f>
        <v>5.6980036304443357E-3</v>
      </c>
      <c r="DD62" s="267">
        <f>INDEX($AA$60:$AN$74,MATCH($CW62,$L$60:$L$74,0),MATCH(DD$61,$AA$61:$AN$61,0))/INDEX(고양시_재차인원!$K$4:$O$20,MATCH("경기도",고양시_재차인원!$K$4:$K$20,0),MATCH($DD$61,고양시_재차인원!$K$4:$O$4,0))</f>
        <v>1.584045009263525</v>
      </c>
      <c r="DE62" s="267">
        <f>INDEX($AA$60:$AN$74,MATCH($CW62,$L$60:$L$74,0),MATCH(DE$61,$AA$61:$AN$61,0))/INDEX(고양시_재차인원!$D$4:$H$35,MATCH("고양시",고양시_재차인원!$B$4:$B$35,0),MATCH($DB$60,고양시_재차인원!$D$4:$H$4,0))</f>
        <v>35.135991776729583</v>
      </c>
      <c r="DF62" s="267">
        <f>INDEX($AO$60:$BB$74,MATCH($CW62,$L$60:$L$74,0),MATCH(DF$61,$AO$61:$BB$61,0))/INDEX(고양시_재차인원!$D$4:$H$35,MATCH("고양시",고양시_재차인원!$B$4:$B$35,0),MATCH($DF$60,고양시_재차인원!$D$4:$H$4,0))</f>
        <v>26.305600293984</v>
      </c>
      <c r="DG62" s="267">
        <f>INDEX($AO$60:$BB$74,MATCH($CW62,$L$60:$L$74,0),MATCH(DG$61,$AO$61:$BB$61,0))/INDEX(고양시_재차인원!$K$4:$O$20,MATCH("경기도",고양시_재차인원!$K$4:$K$20,0),MATCH($DG$61,고양시_재차인원!$K$4:$O$4,0))</f>
        <v>2.5256602288606812E-4</v>
      </c>
      <c r="DH62" s="267">
        <f>INDEX($AO$60:$BB$74,MATCH($CW62,$L$60:$L$74,0),MATCH(DH$61,$AO$61:$BB$61,0))/INDEX(고양시_재차인원!$K$4:$O$20,MATCH("경기도",고양시_재차인원!$K$4:$K$20,0),MATCH($DH$61,고양시_재차인원!$K$4:$O$4,0))</f>
        <v>7.0213354362326924E-2</v>
      </c>
      <c r="DI62" s="267">
        <f>INDEX($AO$60:$BB$74,MATCH($CW62,$L$60:$L$74,0),MATCH(DI$61,$AO$61:$BB$61,0))/INDEX(고양시_재차인원!$D$4:$H$35,MATCH("고양시",고양시_재차인원!$B$4:$B$35,0),MATCH($DF$60,고양시_재차인원!$D$4:$H$4,0))</f>
        <v>1.6891965317421151</v>
      </c>
      <c r="DJ62" s="267">
        <f>INDEX($BC$60:$BP$74,MATCH($CW62,$L$60:$L$74,0),MATCH(DJ$61,$BC$61:$BP$61,0))/INDEX(고양시_재차인원!$D$4:$H$35,MATCH("고양시",고양시_재차인원!$B$4:$B$35,0),MATCH($DJ$60,고양시_재차인원!$D$4:$H$4,0))</f>
        <v>6.8189990791982194E-2</v>
      </c>
      <c r="DK62" s="267">
        <f>INDEX($BC$60:$BP$74,MATCH($CW62,$L$60:$L$74,0),MATCH(DK$61,$BC$61:$BP$61,0))/INDEX(고양시_재차인원!$K$4:$O$20,MATCH("경기도",고양시_재차인원!$K$4:$K$20,0),MATCH($DK$61,고양시_재차인원!$K$4:$O$4,0))</f>
        <v>6.8492480782662272E-7</v>
      </c>
      <c r="DL62" s="267">
        <f>INDEX($BC$60:$BP$74,MATCH($CW62,$L$60:$L$74,0),MATCH(DL$61,$BC$61:$BP$61,0))/INDEX(고양시_재차인원!$K$4:$O$20,MATCH("경기도",고양시_재차인원!$K$4:$K$20,0),MATCH($DL$61,고양시_재차인원!$K$4:$O$4,0))</f>
        <v>1.9040909657580112E-4</v>
      </c>
      <c r="DM62" s="267">
        <f>INDEX($BC$60:$BP$74,MATCH($CW62,$L$60:$L$74,0),MATCH(DM$61,$BC$61:$BP$61,0))/INDEX(고양시_재차인원!$D$4:$H$35,MATCH("고양시",고양시_재차인원!$B$4:$B$35,0),MATCH($DJ$60,고양시_재차인원!$D$4:$H$4,0))</f>
        <v>4.3787746585538219E-3</v>
      </c>
      <c r="DN62" s="267">
        <f>INDEX($BQ$60:$CD$74,MATCH($CW62,$L$60:$L$74,0),MATCH(DN$61,$BQ$61:$CD$61,0))/INDEX(고양시_재차인원!$D$4:$H$35,MATCH("고양시",고양시_재차인원!$B$4:$B$35,0),MATCH($DN$60,고양시_재차인원!$D$4:$H$4,0))</f>
        <v>0.20853870199876101</v>
      </c>
      <c r="DO62" s="267">
        <f>INDEX($BQ$60:$CD$74,MATCH($CW62,$L$60:$L$74,0),MATCH(DO$61,$BQ$61:$CD$61,0))/INDEX(고양시_재차인원!$K$4:$O$20,MATCH("경기도",고양시_재차인원!$K$4:$K$20,0),MATCH($DO$61,고양시_재차인원!$K$4:$O$4,0))</f>
        <v>1.9406202888421036E-6</v>
      </c>
      <c r="DP62" s="267">
        <f>INDEX($BQ$60:$CD$74,MATCH($CW62,$L$60:$L$74,0),MATCH(DP$61,$BQ$61:$CD$61,0))/INDEX(고양시_재차인원!$K$4:$O$20,MATCH("경기도",고양시_재차인원!$K$4:$K$20,0),MATCH($DP$61,고양시_재차인원!$K$4:$O$4,0))</f>
        <v>5.3949244029810486E-4</v>
      </c>
      <c r="DQ62" s="267">
        <f>INDEX($BQ$60:$CD$74,MATCH($CW62,$L$60:$L$74,0),MATCH(DQ$61,$BQ$61:$CD$61,0))/INDEX(고양시_재차인원!$D$4:$H$35,MATCH("고양시",고양시_재차인원!$B$4:$B$35,0),MATCH($DN$60,고양시_재차인원!$D$4:$H$4,0))</f>
        <v>1.3391173294413316E-2</v>
      </c>
      <c r="DR62" s="270">
        <f>CX62+DB62+DF62+DJ62+DN62</f>
        <v>662.3342576239952</v>
      </c>
      <c r="DS62" s="270">
        <f t="shared" ref="DS62:DS74" si="26">CY62+DC62+DG62+DK62+DO62</f>
        <v>6.685950588666922E-3</v>
      </c>
      <c r="DT62" s="270">
        <f t="shared" ref="DT62:DT74" si="27">CZ62+DD62+DH62+DL62+DP62</f>
        <v>1.8586942636494042</v>
      </c>
      <c r="DU62" s="270">
        <f t="shared" ref="DU62:DU74" si="28">DA62+DE62+DI62+DM62+DQ62</f>
        <v>42.531351435774305</v>
      </c>
      <c r="DW62" s="278" t="s">
        <v>605</v>
      </c>
      <c r="DX62" s="278" t="s">
        <v>606</v>
      </c>
      <c r="DY62" s="281">
        <f>DR62+DU62</f>
        <v>704.86560905976955</v>
      </c>
      <c r="DZ62" s="281">
        <f>DS62+DT62</f>
        <v>1.8653802142380711</v>
      </c>
      <c r="EB62" s="278" t="s">
        <v>623</v>
      </c>
      <c r="EC62" s="278" t="s">
        <v>606</v>
      </c>
      <c r="ED62" s="309">
        <f>DY62+DY$68*($EN64/SUM($EN$64:$EN$67))</f>
        <v>827.77994890772641</v>
      </c>
      <c r="EE62" s="309">
        <f t="shared" ref="EE62:EE65" si="29">DZ62+DZ$68*($EN64/SUM($EN$64:$EN$67))</f>
        <v>2.1906648850341899</v>
      </c>
      <c r="EF62" t="b">
        <f>SUM(ED62:EE65)=SUM(DY62:DZ65,DY68:DZ68)</f>
        <v>1</v>
      </c>
      <c r="EK62" s="420" t="s">
        <v>12</v>
      </c>
      <c r="EL62" s="420" t="s">
        <v>12</v>
      </c>
      <c r="EM62" s="420" t="s">
        <v>567</v>
      </c>
      <c r="EN62" s="420">
        <v>14267.0414</v>
      </c>
      <c r="EO62" s="420">
        <v>0.4735987268619668</v>
      </c>
      <c r="EP62" s="421">
        <v>849001</v>
      </c>
      <c r="EQ62" s="422">
        <f>VLOOKUP($EL62,$EC$62:$EE$73,2,FALSE)*$EO62 * $CW$9*(1-$DA$5)</f>
        <v>33.401285080524559</v>
      </c>
      <c r="ER62" s="422">
        <f>VLOOKUP($EL62,$EC$62:$EE$73,3,FALSE)*$EO62*$CW$9*(1-$DA$5)</f>
        <v>8.8394291789106877E-2</v>
      </c>
      <c r="ES62">
        <v>0</v>
      </c>
      <c r="EU62" s="306" t="s">
        <v>12</v>
      </c>
      <c r="EV62" s="306" t="s">
        <v>12</v>
      </c>
      <c r="EW62" s="306" t="s">
        <v>567</v>
      </c>
      <c r="EX62" s="306">
        <v>14267.0414</v>
      </c>
      <c r="EY62" s="306">
        <v>0.4735987268619668</v>
      </c>
      <c r="EZ62" s="307">
        <v>849001</v>
      </c>
      <c r="FA62" s="308">
        <f>EQ62*$EG$55</f>
        <v>33.401285080524559</v>
      </c>
      <c r="FB62" s="308">
        <f t="shared" ref="FB62:FB81" si="30">ER62*$EG$55</f>
        <v>8.8394291789106877E-2</v>
      </c>
      <c r="FD62" s="101"/>
      <c r="FE62" s="101"/>
      <c r="FF62" s="101"/>
      <c r="FG62" s="101"/>
      <c r="FH62" s="101"/>
      <c r="FI62" s="374"/>
      <c r="FJ62" s="404"/>
      <c r="FK62" s="404"/>
    </row>
    <row r="63" spans="1:167">
      <c r="A63" s="205" t="s">
        <v>605</v>
      </c>
      <c r="B63" s="205" t="s">
        <v>607</v>
      </c>
      <c r="C63" s="201">
        <f>$L30*KTDB_TripDistribution_2035!L$12</f>
        <v>209.70706815152596</v>
      </c>
      <c r="D63" s="201">
        <f>$L30*KTDB_TripDistribution_2035!M$12</f>
        <v>1630.710127244655</v>
      </c>
      <c r="E63" s="201">
        <f>$L30*KTDB_TripDistribution_2035!N$12</f>
        <v>72.28180219430628</v>
      </c>
      <c r="F63" s="201">
        <f>$L30*KTDB_TripDistribution_2035!O$12</f>
        <v>0.19601844662862647</v>
      </c>
      <c r="G63" s="201">
        <f>$L30*KTDB_TripDistribution_2035!P$12</f>
        <v>0.55538559878111005</v>
      </c>
      <c r="H63" s="201">
        <f>$K30*KTDB_TripDistribution_2035!Q$12</f>
        <v>1913.4504016358969</v>
      </c>
      <c r="J63" s="230">
        <f t="shared" si="12"/>
        <v>1913.4504016358974</v>
      </c>
      <c r="K63" s="206" t="s">
        <v>605</v>
      </c>
      <c r="L63" s="206" t="s">
        <v>607</v>
      </c>
      <c r="M63" s="206">
        <f>INDEX($A$61:$H$74,MATCH($L63,$B$61:$B$74,0),MATCH($M$60,$A$61:$H$61,0))*고양시_Modal_split!C$3 * 0.01</f>
        <v>0.58717979082427263</v>
      </c>
      <c r="N63" s="206">
        <f>INDEX($A$61:$H$74,MATCH($L63,$B$61:$B$74,0),MATCH($M$60,$A$61:$H$61,0))*고양시_Modal_split!D$3 * 0.01</f>
        <v>98.625234151662667</v>
      </c>
      <c r="O63" s="206">
        <f>INDEX($A$61:$H$74,MATCH($L63,$B$61:$B$74,0),MATCH($M$60,$A$61:$H$61,0))*고양시_Modal_split!E$3 * 0.01</f>
        <v>11.932332177821827</v>
      </c>
      <c r="P63" s="206">
        <f>INDEX($A$61:$H$74,MATCH($L63,$B$61:$B$74,0),MATCH($M$60,$A$61:$H$61,0))*고양시_Modal_split!F$3 * 0.01</f>
        <v>19.23013814949493</v>
      </c>
      <c r="Q63" s="206">
        <f>INDEX($A$61:$H$74,MATCH($L63,$B$61:$B$74,0),MATCH($M$60,$A$61:$H$61,0))*고양시_Modal_split!G$3 * 0.01</f>
        <v>1.9293050269940386</v>
      </c>
      <c r="R63" s="206">
        <f>INDEX($A$61:$H$74,MATCH($L63,$B$61:$B$74,0),MATCH($M$60,$A$61:$H$61,0))*고양시_Modal_split!H$3 * 0.01</f>
        <v>2.0970706815152597E-2</v>
      </c>
      <c r="S63" s="206">
        <f>INDEX($A$61:$H$74,MATCH($L63,$B$61:$B$74,0),MATCH($M$60,$A$61:$H$61,0))*고양시_Modal_split!I$3 * 0.01</f>
        <v>5.8298564946124216</v>
      </c>
      <c r="T63" s="206">
        <f>INDEX($A$61:$H$74,MATCH($L63,$B$61:$B$74,0),MATCH($M$60,$A$61:$H$61,0))*고양시_Modal_split!J$3 * 0.01</f>
        <v>63.834831545324505</v>
      </c>
      <c r="U63" s="206">
        <f>INDEX($A$61:$H$74,MATCH($L63,$B$61:$B$74,0),MATCH($M$60,$A$61:$H$61,0))*고양시_Modal_split!K$3 * 0.01</f>
        <v>0.31456060222728893</v>
      </c>
      <c r="V63" s="206">
        <f>INDEX($A$61:$H$74,MATCH($L63,$B$61:$B$74,0),MATCH($M$60,$A$61:$H$61,0))*고양시_Modal_split!L$3 * 0.01</f>
        <v>6.3331534581760849</v>
      </c>
      <c r="W63" s="206">
        <f>INDEX($A$61:$H$74,MATCH($L63,$B$61:$B$74,0),MATCH($M$60,$A$61:$H$61,0))*고양시_Modal_split!M$3 * 0.01</f>
        <v>0.48232625674850965</v>
      </c>
      <c r="X63" s="206">
        <f>INDEX($A$61:$H$74,MATCH($L63,$B$61:$B$74,0),MATCH($M$60,$A$61:$H$61,0))*고양시_Modal_split!N$3 * 0.01</f>
        <v>0.20970706815152595</v>
      </c>
      <c r="Y63" s="206">
        <f>INDEX($A$61:$H$74,MATCH($L63,$B$61:$B$74,0),MATCH($M$60,$A$61:$H$61,0))*고양시_Modal_split!O$3 * 0.01</f>
        <v>0.37747272267274673</v>
      </c>
      <c r="Z63" s="209">
        <f>INDEX($A$61:$H$74,MATCH($L63,$B$61:$B$74,0),MATCH($M$60,$A$61:$H$61,0))*고양시_Modal_split!P$3 * 0.01</f>
        <v>209.70706815152596</v>
      </c>
      <c r="AA63" s="207">
        <f>INDEX($A$61:$H$74,MATCH($L63,$B$61:$B$74,0),MATCH($AA$60,$A$61:$H$61,0))*고양시_Modal_split!C$3 * 0.01</f>
        <v>4.5659883562850334</v>
      </c>
      <c r="AB63" s="207">
        <f>INDEX($A$61:$H$74,MATCH($L63,$B$61:$B$74,0),MATCH($AA$60,$A$61:$H$61,0))*고양시_Modal_split!D$3 * 0.01</f>
        <v>766.92297284316123</v>
      </c>
      <c r="AC63" s="207">
        <f>INDEX($A$61:$H$74,MATCH($L63,$B$61:$B$74,0),MATCH($AA$60,$A$61:$H$61,0))*고양시_Modal_split!E$3 * 0.01</f>
        <v>92.787406240220861</v>
      </c>
      <c r="AD63" s="207">
        <f>INDEX($A$61:$H$74,MATCH($L63,$B$61:$B$74,0),MATCH($AA$60,$A$61:$H$61,0))*고양시_Modal_split!F$3 * 0.01</f>
        <v>149.53611866833486</v>
      </c>
      <c r="AE63" s="207">
        <f>INDEX($A$61:$H$74,MATCH($L63,$B$61:$B$74,0),MATCH($AA$60,$A$61:$H$61,0))*고양시_Modal_split!G$3 * 0.01</f>
        <v>15.002533170650825</v>
      </c>
      <c r="AF63" s="207">
        <f>INDEX($A$61:$H$74,MATCH($L63,$B$61:$B$74,0),MATCH($AA$60,$A$61:$H$61,0))*고양시_Modal_split!H$3 * 0.01</f>
        <v>0.16307101272446553</v>
      </c>
      <c r="AG63" s="207">
        <f>INDEX($A$61:$H$74,MATCH($L63,$B$61:$B$74,0),MATCH($AA$60,$A$61:$H$61,0))*고양시_Modal_split!I$3 * 0.01</f>
        <v>45.333741537401409</v>
      </c>
      <c r="AH63" s="207">
        <f>INDEX($A$61:$H$74,MATCH($L63,$B$61:$B$74,0),MATCH($AA$60,$A$61:$H$61,0))*고양시_Modal_split!J$3 * 0.01</f>
        <v>496.38816273327302</v>
      </c>
      <c r="AI63" s="207">
        <f>INDEX($A$61:$H$74,MATCH($L63,$B$61:$B$74,0),MATCH($AA$60,$A$61:$H$61,0))*고양시_Modal_split!K$3 * 0.01</f>
        <v>2.4460651908669826</v>
      </c>
      <c r="AJ63" s="207">
        <f>INDEX($A$61:$H$74,MATCH($L63,$B$61:$B$74,0),MATCH($AA$60,$A$61:$H$61,0))*고양시_Modal_split!L$3 * 0.01</f>
        <v>49.247445842788586</v>
      </c>
      <c r="AK63" s="207">
        <f>INDEX($A$61:$H$74,MATCH($L63,$B$61:$B$74,0),MATCH($AA$60,$A$61:$H$61,0))*고양시_Modal_split!M$3 * 0.01</f>
        <v>3.7506332926627062</v>
      </c>
      <c r="AL63" s="207">
        <f>INDEX($A$61:$H$74,MATCH($L63,$B$61:$B$74,0),MATCH($AA$60,$A$61:$H$61,0))*고양시_Modal_split!N$3 * 0.01</f>
        <v>1.6307101272446551</v>
      </c>
      <c r="AM63" s="207">
        <f>INDEX($A$61:$H$74,MATCH($L63,$B$61:$B$74,0),MATCH($AA$60,$A$61:$H$61,0))*고양시_Modal_split!O$3 * 0.01</f>
        <v>2.9352782290403794</v>
      </c>
      <c r="AN63" s="207">
        <f>INDEX($A$61:$H$74,MATCH($L63,$B$61:$B$74,0),MATCH($AA$60,$A$61:$H$61,0))*고양시_Modal_split!P$3 * 0.01</f>
        <v>1630.7101272446553</v>
      </c>
      <c r="AO63" s="303">
        <f>INDEX($A$61:$H$74,MATCH($L63,$B$61:$B$74,0),MATCH($AO$60,$A$61:$H$61,0))*고양시_Modal_split!C$3 * 0.01</f>
        <v>0.20238904614405759</v>
      </c>
      <c r="AP63" s="303">
        <f>INDEX($A$61:$H$74,MATCH($L63,$B$61:$B$74,0),MATCH($AO$60,$A$61:$H$61,0))*고양시_Modal_split!D$3 * 0.01</f>
        <v>33.994131571982244</v>
      </c>
      <c r="AQ63" s="303">
        <f>INDEX($A$61:$H$74,MATCH($L63,$B$61:$B$74,0),MATCH($AO$60,$A$61:$H$61,0))*고양시_Modal_split!E$3 * 0.01</f>
        <v>4.1128345448560273</v>
      </c>
      <c r="AR63" s="303">
        <f>INDEX($A$61:$H$74,MATCH($L63,$B$61:$B$74,0),MATCH($AO$60,$A$61:$H$61,0))*고양시_Modal_split!F$3 * 0.01</f>
        <v>6.6282412612178865</v>
      </c>
      <c r="AS63" s="303">
        <f>INDEX($A$61:$H$74,MATCH($L63,$B$61:$B$74,0),MATCH($AO$60,$A$61:$H$61,0))*고양시_Modal_split!G$3 * 0.01</f>
        <v>0.66499258018761775</v>
      </c>
      <c r="AT63" s="303">
        <f>INDEX($A$61:$H$74,MATCH($L63,$B$61:$B$74,0),MATCH($AO$60,$A$61:$H$61,0))*고양시_Modal_split!H$3 * 0.01</f>
        <v>7.228180219430628E-3</v>
      </c>
      <c r="AU63" s="303">
        <f>INDEX($A$61:$H$74,MATCH($L63,$B$61:$B$74,0),MATCH($AO$60,$A$61:$H$61,0))*고양시_Modal_split!I$3 * 0.01</f>
        <v>2.0094341010017143</v>
      </c>
      <c r="AV63" s="303">
        <f>INDEX($A$61:$H$74,MATCH($L63,$B$61:$B$74,0),MATCH($AO$60,$A$61:$H$61,0))*고양시_Modal_split!J$3 * 0.01</f>
        <v>22.002580587946831</v>
      </c>
      <c r="AW63" s="303">
        <f>INDEX($A$61:$H$74,MATCH($L63,$B$61:$B$74,0),MATCH($AO$60,$A$61:$H$61,0))*고양시_Modal_split!K$3 * 0.01</f>
        <v>0.10842270329145942</v>
      </c>
      <c r="AX63" s="303">
        <f>INDEX($A$61:$H$74,MATCH($L63,$B$61:$B$74,0),MATCH($AO$60,$A$61:$H$61,0))*고양시_Modal_split!L$3 * 0.01</f>
        <v>2.1829104262680499</v>
      </c>
      <c r="AY63" s="303">
        <f>INDEX($A$61:$H$74,MATCH($L63,$B$61:$B$74,0),MATCH($AO$60,$A$61:$H$61,0))*고양시_Modal_split!M$3 * 0.01</f>
        <v>0.16624814504690444</v>
      </c>
      <c r="AZ63" s="303">
        <f>INDEX($A$61:$H$74,MATCH($L63,$B$61:$B$74,0),MATCH($AO$60,$A$61:$H$61,0))*고양시_Modal_split!N$3 * 0.01</f>
        <v>7.2281802194306286E-2</v>
      </c>
      <c r="BA63" s="207">
        <f>INDEX($A$61:$H$74,MATCH($L63,$B$61:$B$74,0),MATCH($AO$60,$A$61:$H$61,0))*고양시_Modal_split!O$3 * 0.01</f>
        <v>0.13010724394975129</v>
      </c>
      <c r="BB63" s="207">
        <f>INDEX($A$61:$H$74,MATCH($L63,$B$61:$B$74,0),MATCH($AO$60,$A$61:$H$61,0))*고양시_Modal_split!P$3 * 0.01</f>
        <v>72.28180219430628</v>
      </c>
      <c r="BC63" s="207">
        <f>INDEX($A$61:$H$74,MATCH($L63,$B$61:$B$74,0),MATCH($BC$60,$A$61:$H$61,0))*고양시_Modal_split!C$3 * 0.01</f>
        <v>5.4885165056015408E-4</v>
      </c>
      <c r="BD63" s="207">
        <f>INDEX($A$61:$H$74,MATCH($L63,$B$61:$B$74,0),MATCH($BC$60,$A$61:$H$61,0))*고양시_Modal_split!D$3 * 0.01</f>
        <v>9.2187475449443043E-2</v>
      </c>
      <c r="BE63" s="207">
        <f>INDEX($A$61:$H$74,MATCH($L63,$B$61:$B$74,0),MATCH($BC$60,$A$61:$H$61,0))*고양시_Modal_split!E$3 * 0.01</f>
        <v>1.1153449613168845E-2</v>
      </c>
      <c r="BF63" s="207">
        <f>INDEX($A$61:$H$74,MATCH($L63,$B$61:$B$74,0),MATCH($BC$60,$A$61:$H$61,0))*고양시_Modal_split!F$3 * 0.01</f>
        <v>1.7974891555845047E-2</v>
      </c>
      <c r="BG63" s="207">
        <f>INDEX($A$61:$H$74,MATCH($L63,$B$61:$B$74,0),MATCH($BC$60,$A$61:$H$61,0))*고양시_Modal_split!G$3 * 0.01</f>
        <v>1.8033697089833633E-3</v>
      </c>
      <c r="BH63" s="207">
        <f>INDEX($A$61:$H$74,MATCH($L63,$B$61:$B$74,0),MATCH($BC$60,$A$61:$H$61,0))*고양시_Modal_split!H$3 * 0.01</f>
        <v>1.9601844662862648E-5</v>
      </c>
      <c r="BI63" s="207">
        <f>INDEX($A$61:$H$74,MATCH($L63,$B$61:$B$74,0),MATCH($BC$60,$A$61:$H$61,0))*고양시_Modal_split!I$3 * 0.01</f>
        <v>5.4493128162758156E-3</v>
      </c>
      <c r="BJ63" s="207">
        <f>INDEX($A$61:$H$74,MATCH($L63,$B$61:$B$74,0),MATCH($BC$60,$A$61:$H$61,0))*고양시_Modal_split!J$3 * 0.01</f>
        <v>5.9668015153753896E-2</v>
      </c>
      <c r="BK63" s="207">
        <f>INDEX($A$61:$H$74,MATCH($L63,$B$61:$B$74,0),MATCH($BC$60,$A$61:$H$61,0))*고양시_Modal_split!K$3 * 0.01</f>
        <v>2.940276699429397E-4</v>
      </c>
      <c r="BL63" s="207">
        <f>INDEX($A$61:$H$74,MATCH($L63,$B$61:$B$74,0),MATCH($BC$60,$A$61:$H$61,0))*고양시_Modal_split!L$3 * 0.01</f>
        <v>5.9197570881845199E-3</v>
      </c>
      <c r="BM63" s="207">
        <f>INDEX($A$61:$H$74,MATCH($L63,$B$61:$B$74,0),MATCH($BC$60,$A$61:$H$61,0))*고양시_Modal_split!M$3 * 0.01</f>
        <v>4.5084242724584083E-4</v>
      </c>
      <c r="BN63" s="207">
        <f>INDEX($A$61:$H$74,MATCH($L63,$B$61:$B$74,0),MATCH($BC$60,$A$61:$H$61,0))*고양시_Modal_split!N$3 * 0.01</f>
        <v>1.9601844662862648E-4</v>
      </c>
      <c r="BO63" s="207">
        <f>INDEX($A$61:$H$74,MATCH($L63,$B$61:$B$74,0),MATCH($BC$60,$A$61:$H$61,0))*고양시_Modal_split!O$3 * 0.01</f>
        <v>3.5283320393152763E-4</v>
      </c>
      <c r="BP63" s="207">
        <f>INDEX($A$61:$H$74,MATCH($L63,$B$61:$B$74,0),MATCH($BC$60,$A$61:$H$61,0))*고양시_Modal_split!P$3 * 0.01</f>
        <v>0.19601844662862647</v>
      </c>
      <c r="BQ63" s="207">
        <f>INDEX($A$61:$H$74,MATCH($L63,$B$61:$B$74,0),MATCH($BQ$60,$A$61:$H$61,0))*고양시_Modal_split!C$3 * 0.01</f>
        <v>1.5550796765871082E-3</v>
      </c>
      <c r="BR63" s="207">
        <f>INDEX($A$61:$H$74,MATCH($L63,$B$61:$B$74,0),MATCH($BQ$60,$A$61:$H$61,0))*고양시_Modal_split!D$3 * 0.01</f>
        <v>0.26119784710675609</v>
      </c>
      <c r="BS63" s="207">
        <f>INDEX($A$61:$H$74,MATCH($L63,$B$61:$B$74,0),MATCH($BQ$60,$A$61:$H$61,0))*고양시_Modal_split!E$3 * 0.01</f>
        <v>3.1601440570645165E-2</v>
      </c>
      <c r="BT63" s="207">
        <f>INDEX($A$61:$H$74,MATCH($L63,$B$61:$B$74,0),MATCH($BQ$60,$A$61:$H$61,0))*고양시_Modal_split!F$3 * 0.01</f>
        <v>5.0928859408227785E-2</v>
      </c>
      <c r="BU63" s="207">
        <f>INDEX($A$61:$H$74,MATCH($L63,$B$61:$B$74,0),MATCH($BQ$60,$A$61:$H$61,0))*고양시_Modal_split!G$3 * 0.01</f>
        <v>5.1095475087862118E-3</v>
      </c>
      <c r="BV63" s="207">
        <f>INDEX($A$61:$H$74,MATCH($L63,$B$61:$B$74,0),MATCH($BQ$60,$A$61:$H$61,0))*고양시_Modal_split!H$3 * 0.01</f>
        <v>5.5538559878111005E-5</v>
      </c>
      <c r="BW63" s="207">
        <f>INDEX($A$61:$H$74,MATCH($L63,$B$61:$B$74,0),MATCH($BQ$60,$A$61:$H$61,0))*고양시_Modal_split!I$3 * 0.01</f>
        <v>1.5439719646114859E-2</v>
      </c>
      <c r="BX63" s="207">
        <f>INDEX($A$61:$H$74,MATCH($L63,$B$61:$B$74,0),MATCH($BQ$60,$A$61:$H$61,0))*고양시_Modal_split!J$3 * 0.01</f>
        <v>0.16905937626896989</v>
      </c>
      <c r="BY63" s="207">
        <f>INDEX($A$61:$H$74,MATCH($L63,$B$61:$B$74,0),MATCH($BQ$60,$A$61:$H$61,0))*고양시_Modal_split!K$3 * 0.01</f>
        <v>8.3307839817166514E-4</v>
      </c>
      <c r="BZ63" s="207">
        <f>INDEX($A$61:$H$74,MATCH($L63,$B$61:$B$74,0),MATCH($BQ$60,$A$61:$H$61,0))*고양시_Modal_split!L$3 * 0.01</f>
        <v>1.6772645083189524E-2</v>
      </c>
      <c r="CA63" s="207">
        <f>INDEX($A$61:$H$74,MATCH($L63,$B$61:$B$74,0),MATCH($BQ$60,$A$61:$H$61,0))*고양시_Modal_split!M$3 * 0.01</f>
        <v>1.277386877196553E-3</v>
      </c>
      <c r="CB63" s="207">
        <f>INDEX($A$61:$H$74,MATCH($L63,$B$61:$B$74,0),MATCH($BQ$60,$A$61:$H$61,0))*고양시_Modal_split!N$3 * 0.01</f>
        <v>5.5538559878111013E-4</v>
      </c>
      <c r="CC63" s="207">
        <f>INDEX($A$61:$H$74,MATCH($L63,$B$61:$B$74,0),MATCH($BQ$60,$A$61:$H$61,0))*고양시_Modal_split!O$3 * 0.01</f>
        <v>9.9969407780599795E-4</v>
      </c>
      <c r="CD63" s="207">
        <f>INDEX($A$61:$H$74,MATCH($L63,$B$61:$B$74,0),MATCH($BQ$60,$A$61:$H$61,0))*고양시_Modal_split!P$3 * 0.01</f>
        <v>0.55538559878111005</v>
      </c>
      <c r="CE63" s="304">
        <f t="shared" ref="CE63:CE74" si="31">M63+AA63+AO63+BC63+BQ63</f>
        <v>5.3576611245805106</v>
      </c>
      <c r="CF63" s="304">
        <f t="shared" si="13"/>
        <v>899.89572388936233</v>
      </c>
      <c r="CG63" s="304">
        <f t="shared" si="14"/>
        <v>108.87532785308252</v>
      </c>
      <c r="CH63" s="304">
        <f t="shared" si="15"/>
        <v>175.46340183001175</v>
      </c>
      <c r="CI63" s="304">
        <f t="shared" si="16"/>
        <v>17.603743695050255</v>
      </c>
      <c r="CJ63" s="304">
        <f t="shared" si="17"/>
        <v>0.19134504016358975</v>
      </c>
      <c r="CK63" s="304">
        <f t="shared" si="18"/>
        <v>53.193921165477938</v>
      </c>
      <c r="CL63" s="304">
        <f t="shared" si="19"/>
        <v>582.45430225796702</v>
      </c>
      <c r="CM63" s="304">
        <f t="shared" si="20"/>
        <v>2.8701756024538456</v>
      </c>
      <c r="CN63" s="304">
        <f t="shared" si="21"/>
        <v>57.786202129404096</v>
      </c>
      <c r="CO63" s="304">
        <f t="shared" si="22"/>
        <v>4.4009359237625638</v>
      </c>
      <c r="CP63" s="304">
        <f t="shared" si="23"/>
        <v>1.9134504016358971</v>
      </c>
      <c r="CQ63" s="304">
        <f t="shared" si="24"/>
        <v>3.4442107229446148</v>
      </c>
      <c r="CR63" s="304">
        <f t="shared" si="25"/>
        <v>1913.4504016358974</v>
      </c>
      <c r="CS63" s="305">
        <f t="shared" ref="CS63:CS74" si="32">H63-CR63</f>
        <v>0</v>
      </c>
      <c r="CV63" s="265" t="s">
        <v>605</v>
      </c>
      <c r="CW63" s="265" t="s">
        <v>607</v>
      </c>
      <c r="CX63" s="267">
        <f>INDEX($M$60:$Z$74,MATCH($CW63,$L$60:$L$74,0),MATCH(CX$61,$M$61:$Z$61,0))/INDEX(고양시_재차인원!$D$4:$H$35,MATCH("고양시",고양시_재차인원!$B$4:$B$35,0),MATCH($CX$60,고양시_재차인원!$D$4:$H$4,0))</f>
        <v>88.058244778270236</v>
      </c>
      <c r="CY63" s="267">
        <f>INDEX($M$60:$Z$74,MATCH($CW63,$L$60:$L$74,0),MATCH(CY$61,$M$61:$Z$61,0))/INDEX(고양시_재차인원!$K$4:$O$20,MATCH("경기도",고양시_재차인원!$K$4:$K$20,0),MATCH($CY$61,고양시_재차인원!$K$4:$O$4,0))</f>
        <v>7.2840245971353239E-4</v>
      </c>
      <c r="CZ63" s="267">
        <f>INDEX($M$60:$Z$74,MATCH($CW63,$L$60:$L$74,0),MATCH(CZ$61,$M$61:$Z$61,0))/INDEX(고양시_재차인원!$K$4:$O$20,MATCH("경기도",고양시_재차인원!$K$4:$K$20,0),MATCH($CZ$61,고양시_재차인원!$K$4:$O$4,0))</f>
        <v>0.20249588380036199</v>
      </c>
      <c r="DA63" s="267">
        <f>INDEX($M$60:$Z$74,MATCH($CW63,$L$60:$L$74,0),MATCH(DA$61,$M$61:$Z$61,0))/INDEX(고양시_재차인원!$D$4:$H$35,MATCH("고양시",고양시_재차인원!$B$4:$B$35,0),MATCH($CX$60,고양시_재차인원!$D$4:$H$4,0))</f>
        <v>5.6546013019429324</v>
      </c>
      <c r="DB63" s="267">
        <f>INDEX($AA$60:$AN$74,MATCH($CW63,$L$60:$L$74,0),MATCH(DB$61,$AA$61:$AN$61,0))/INDEX(고양시_재차인원!$D$4:$H$35,MATCH("고양시",고양시_재차인원!$B$4:$B$35,0),MATCH($DB$60,고양시_재차인원!$D$4:$H$4,0))</f>
        <v>543.91700201642641</v>
      </c>
      <c r="DC63" s="267">
        <f>INDEX($AA$60:$AN$74,MATCH($CW63,$L$60:$L$74,0),MATCH(DC$61,$AA$61:$AN$61,0))/INDEX(고양시_재차인원!$K$4:$O$20,MATCH("경기도",고양시_재차인원!$K$4:$K$20,0),MATCH($DC$61,고양시_재차인원!$K$4:$O$4,0))</f>
        <v>5.6641546621905361E-3</v>
      </c>
      <c r="DD63" s="267">
        <f>INDEX($AA$60:$AN$74,MATCH($CW63,$L$60:$L$74,0),MATCH(DD$61,$AA$61:$AN$61,0))/INDEX(고양시_재차인원!$K$4:$O$20,MATCH("경기도",고양시_재차인원!$K$4:$K$20,0),MATCH($DD$61,고양시_재차인원!$K$4:$O$4,0))</f>
        <v>1.5746349960889687</v>
      </c>
      <c r="DE63" s="267">
        <f>INDEX($AA$60:$AN$74,MATCH($CW63,$L$60:$L$74,0),MATCH(DE$61,$AA$61:$AN$61,0))/INDEX(고양시_재차인원!$D$4:$H$35,MATCH("고양시",고양시_재차인원!$B$4:$B$35,0),MATCH($DB$60,고양시_재차인원!$D$4:$H$4,0))</f>
        <v>34.927266555169211</v>
      </c>
      <c r="DF63" s="267">
        <f>INDEX($AO$60:$BB$74,MATCH($CW63,$L$60:$L$74,0),MATCH(DF$61,$AO$61:$BB$61,0))/INDEX(고양시_재차인원!$D$4:$H$35,MATCH("고양시",고양시_재차인원!$B$4:$B$35,0),MATCH($DF$60,고양시_재차인원!$D$4:$H$4,0))</f>
        <v>26.149331978447879</v>
      </c>
      <c r="DG63" s="267">
        <f>INDEX($AO$60:$BB$74,MATCH($CW63,$L$60:$L$74,0),MATCH(DG$61,$AO$61:$BB$61,0))/INDEX(고양시_재차인원!$K$4:$O$20,MATCH("경기도",고양시_재차인원!$K$4:$K$20,0),MATCH($DG$61,고양시_재차인원!$K$4:$O$4,0))</f>
        <v>2.5106565541613854E-4</v>
      </c>
      <c r="DH63" s="267">
        <f>INDEX($AO$60:$BB$74,MATCH($CW63,$L$60:$L$74,0),MATCH(DH$61,$AO$61:$BB$61,0))/INDEX(고양시_재차인원!$K$4:$O$20,MATCH("경기도",고양시_재차인원!$K$4:$K$20,0),MATCH($DH$61,고양시_재차인원!$K$4:$O$4,0))</f>
        <v>6.9796252205686499E-2</v>
      </c>
      <c r="DI63" s="267">
        <f>INDEX($AO$60:$BB$74,MATCH($CW63,$L$60:$L$74,0),MATCH(DI$61,$AO$61:$BB$61,0))/INDEX(고양시_재차인원!$D$4:$H$35,MATCH("고양시",고양시_재차인원!$B$4:$B$35,0),MATCH($DF$60,고양시_재차인원!$D$4:$H$4,0))</f>
        <v>1.6791618663600383</v>
      </c>
      <c r="DJ63" s="267">
        <f>INDEX($BC$60:$BP$74,MATCH($CW63,$L$60:$L$74,0),MATCH(DJ$61,$BC$61:$BP$61,0))/INDEX(고양시_재차인원!$D$4:$H$35,MATCH("고양시",고양시_재차인원!$B$4:$B$35,0),MATCH($DJ$60,고양시_재차인원!$D$4:$H$4,0))</f>
        <v>6.7784908418708115E-2</v>
      </c>
      <c r="DK63" s="267">
        <f>INDEX($BC$60:$BP$74,MATCH($CW63,$L$60:$L$74,0),MATCH(DK$61,$BC$61:$BP$61,0))/INDEX(고양시_재차인원!$K$4:$O$20,MATCH("경기도",고양시_재차인원!$K$4:$K$20,0),MATCH($DK$61,고양시_재차인원!$K$4:$O$4,0))</f>
        <v>6.8085601468783079E-7</v>
      </c>
      <c r="DL63" s="267">
        <f>INDEX($BC$60:$BP$74,MATCH($CW63,$L$60:$L$74,0),MATCH(DL$61,$BC$61:$BP$61,0))/INDEX(고양시_재차인원!$K$4:$O$20,MATCH("경기도",고양시_재차인원!$K$4:$K$20,0),MATCH($DL$61,고양시_재차인원!$K$4:$O$4,0))</f>
        <v>1.8927797208321694E-4</v>
      </c>
      <c r="DM63" s="267">
        <f>INDEX($BC$60:$BP$74,MATCH($CW63,$L$60:$L$74,0),MATCH(DM$61,$BC$61:$BP$61,0))/INDEX(고양시_재차인원!$D$4:$H$35,MATCH("고양시",고양시_재차인원!$B$4:$B$35,0),MATCH($DJ$60,고양시_재차인원!$D$4:$H$4,0))</f>
        <v>4.3527625648415585E-3</v>
      </c>
      <c r="DN63" s="267">
        <f>INDEX($BQ$60:$CD$74,MATCH($CW63,$L$60:$L$74,0),MATCH(DN$61,$BQ$61:$CD$61,0))/INDEX(고양시_재차인원!$D$4:$H$35,MATCH("고양시",고양시_재차인원!$B$4:$B$35,0),MATCH($DN$60,고양시_재차인원!$D$4:$H$4,0))</f>
        <v>0.20729987865615562</v>
      </c>
      <c r="DO63" s="267">
        <f>INDEX($BQ$60:$CD$74,MATCH($CW63,$L$60:$L$74,0),MATCH(DO$61,$BQ$61:$CD$61,0))/INDEX(고양시_재차인원!$K$4:$O$20,MATCH("경기도",고양시_재차인원!$K$4:$K$20,0),MATCH($DO$61,고양시_재차인원!$K$4:$O$4,0))</f>
        <v>1.9290920416155263E-6</v>
      </c>
      <c r="DP63" s="267">
        <f>INDEX($BQ$60:$CD$74,MATCH($CW63,$L$60:$L$74,0),MATCH(DP$61,$BQ$61:$CD$61,0))/INDEX(고양시_재차인원!$K$4:$O$20,MATCH("경기도",고양시_재차인원!$K$4:$K$20,0),MATCH($DP$61,고양시_재차인원!$K$4:$O$4,0))</f>
        <v>5.3628758756911628E-4</v>
      </c>
      <c r="DQ63" s="267">
        <f>INDEX($BQ$60:$CD$74,MATCH($CW63,$L$60:$L$74,0),MATCH(DQ$61,$BQ$61:$CD$61,0))/INDEX(고양시_재차인원!$D$4:$H$35,MATCH("고양시",고양시_재차인원!$B$4:$B$35,0),MATCH($DN$60,고양시_재차인원!$D$4:$H$4,0))</f>
        <v>1.3311623081896448E-2</v>
      </c>
      <c r="DR63" s="270">
        <f t="shared" ref="DR63:DR74" si="33">CX63+DB63+DF63+DJ63+DN63</f>
        <v>658.39966356021944</v>
      </c>
      <c r="DS63" s="270">
        <f t="shared" si="26"/>
        <v>6.6462327253765108E-3</v>
      </c>
      <c r="DT63" s="270">
        <f t="shared" si="27"/>
        <v>1.8476526976546697</v>
      </c>
      <c r="DU63" s="270">
        <f t="shared" si="28"/>
        <v>42.278694109118923</v>
      </c>
      <c r="DW63" s="278" t="s">
        <v>605</v>
      </c>
      <c r="DX63" s="278" t="s">
        <v>607</v>
      </c>
      <c r="DY63" s="281">
        <f t="shared" ref="DY63:DY66" si="34">DR63+DU63</f>
        <v>700.67835766933831</v>
      </c>
      <c r="DZ63" s="281">
        <f t="shared" ref="DZ63:DZ66" si="35">DS63+DT63</f>
        <v>1.8542989303800461</v>
      </c>
      <c r="EB63" s="278" t="s">
        <v>622</v>
      </c>
      <c r="EC63" s="278" t="s">
        <v>607</v>
      </c>
      <c r="ED63" s="309">
        <f t="shared" ref="ED63:ED65" si="36">DY63+DY$68*($EN65/SUM($EN$64:$EN$67))</f>
        <v>822.79985986735346</v>
      </c>
      <c r="EE63" s="309">
        <f t="shared" si="29"/>
        <v>2.1774854087742441</v>
      </c>
      <c r="EK63" s="420" t="s">
        <v>12</v>
      </c>
      <c r="EL63" s="420" t="s">
        <v>12</v>
      </c>
      <c r="EM63" s="420" t="s">
        <v>610</v>
      </c>
      <c r="EN63" s="420">
        <v>15857.7047</v>
      </c>
      <c r="EO63" s="420">
        <v>0.5264012731380332</v>
      </c>
      <c r="EP63" s="421">
        <v>849002</v>
      </c>
      <c r="EQ63" s="422">
        <f t="shared" ref="EQ63:EQ81" si="37">VLOOKUP($EL63,$EC$62:$EE$73,2,FALSE)*$EO63 * $CW$9*(1-$DA$5)</f>
        <v>37.125266588731854</v>
      </c>
      <c r="ER63" s="422">
        <f t="shared" ref="ER63:ER81" si="38">VLOOKUP($EL63,$EC$62:$EE$73,3,FALSE)*$EO63*$CW$9*(1-$DA$5)</f>
        <v>9.8249562544711719E-2</v>
      </c>
      <c r="ES63">
        <v>0</v>
      </c>
      <c r="EU63" s="306" t="s">
        <v>12</v>
      </c>
      <c r="EV63" s="306" t="s">
        <v>12</v>
      </c>
      <c r="EW63" s="306" t="s">
        <v>610</v>
      </c>
      <c r="EX63" s="306">
        <v>15857.7047</v>
      </c>
      <c r="EY63" s="306">
        <v>0.5264012731380332</v>
      </c>
      <c r="EZ63" s="307">
        <v>849002</v>
      </c>
      <c r="FA63" s="308">
        <f t="shared" ref="FA63:FA81" si="39">EQ63*$EG$55</f>
        <v>37.125266588731854</v>
      </c>
      <c r="FB63" s="308">
        <f t="shared" si="30"/>
        <v>9.8249562544711719E-2</v>
      </c>
      <c r="FD63" s="101"/>
      <c r="FE63" s="101"/>
      <c r="FF63" s="101"/>
      <c r="FG63" s="101"/>
      <c r="FH63" s="101"/>
      <c r="FI63" s="374"/>
      <c r="FJ63" s="404"/>
      <c r="FK63" s="404"/>
    </row>
    <row r="64" spans="1:167">
      <c r="A64" s="205" t="s">
        <v>605</v>
      </c>
      <c r="B64" s="205" t="s">
        <v>608</v>
      </c>
      <c r="C64" s="201">
        <f>$L31*KTDB_TripDistribution_2035!L$12</f>
        <v>171.84728095318619</v>
      </c>
      <c r="D64" s="201">
        <f>$L31*KTDB_TripDistribution_2035!M$12</f>
        <v>1336.3073732323269</v>
      </c>
      <c r="E64" s="201">
        <f>$L31*KTDB_TripDistribution_2035!N$12</f>
        <v>59.232296169017779</v>
      </c>
      <c r="F64" s="201">
        <f>$L31*KTDB_TripDistribution_2035!O$12</f>
        <v>0.16062995571258998</v>
      </c>
      <c r="G64" s="201">
        <f>$L31*KTDB_TripDistribution_2035!P$12</f>
        <v>0.45511820785233964</v>
      </c>
      <c r="H64" s="201">
        <f>$K31*KTDB_TripDistribution_2035!Q$12</f>
        <v>1568.0026985180957</v>
      </c>
      <c r="J64" s="230">
        <f t="shared" si="12"/>
        <v>1568.0026985180962</v>
      </c>
      <c r="K64" s="206" t="s">
        <v>605</v>
      </c>
      <c r="L64" s="206" t="s">
        <v>608</v>
      </c>
      <c r="M64" s="206">
        <f>INDEX($A$61:$H$74,MATCH($L64,$B$61:$B$74,0),MATCH($M$60,$A$61:$H$61,0))*고양시_Modal_split!C$3 * 0.01</f>
        <v>0.48117238666892131</v>
      </c>
      <c r="N64" s="206">
        <f>INDEX($A$61:$H$74,MATCH($L64,$B$61:$B$74,0),MATCH($M$60,$A$61:$H$61,0))*고양시_Modal_split!D$3 * 0.01</f>
        <v>80.819776232283473</v>
      </c>
      <c r="O64" s="206">
        <f>INDEX($A$61:$H$74,MATCH($L64,$B$61:$B$74,0),MATCH($M$60,$A$61:$H$61,0))*고양시_Modal_split!E$3 * 0.01</f>
        <v>9.7781102862362932</v>
      </c>
      <c r="P64" s="206">
        <f>INDEX($A$61:$H$74,MATCH($L64,$B$61:$B$74,0),MATCH($M$60,$A$61:$H$61,0))*고양시_Modal_split!F$3 * 0.01</f>
        <v>15.758395663407173</v>
      </c>
      <c r="Q64" s="206">
        <f>INDEX($A$61:$H$74,MATCH($L64,$B$61:$B$74,0),MATCH($M$60,$A$61:$H$61,0))*고양시_Modal_split!G$3 * 0.01</f>
        <v>1.5809949847693128</v>
      </c>
      <c r="R64" s="206">
        <f>INDEX($A$61:$H$74,MATCH($L64,$B$61:$B$74,0),MATCH($M$60,$A$61:$H$61,0))*고양시_Modal_split!H$3 * 0.01</f>
        <v>1.7184728095318621E-2</v>
      </c>
      <c r="S64" s="206">
        <f>INDEX($A$61:$H$74,MATCH($L64,$B$61:$B$74,0),MATCH($M$60,$A$61:$H$61,0))*고양시_Modal_split!I$3 * 0.01</f>
        <v>4.7773544104985755</v>
      </c>
      <c r="T64" s="206">
        <f>INDEX($A$61:$H$74,MATCH($L64,$B$61:$B$74,0),MATCH($M$60,$A$61:$H$61,0))*고양시_Modal_split!J$3 * 0.01</f>
        <v>52.310312322149876</v>
      </c>
      <c r="U64" s="206">
        <f>INDEX($A$61:$H$74,MATCH($L64,$B$61:$B$74,0),MATCH($M$60,$A$61:$H$61,0))*고양시_Modal_split!K$3 * 0.01</f>
        <v>0.25777092142977931</v>
      </c>
      <c r="V64" s="206">
        <f>INDEX($A$61:$H$74,MATCH($L64,$B$61:$B$74,0),MATCH($M$60,$A$61:$H$61,0))*고양시_Modal_split!L$3 * 0.01</f>
        <v>5.1897878847862229</v>
      </c>
      <c r="W64" s="206">
        <f>INDEX($A$61:$H$74,MATCH($L64,$B$61:$B$74,0),MATCH($M$60,$A$61:$H$61,0))*고양시_Modal_split!M$3 * 0.01</f>
        <v>0.39524874619232819</v>
      </c>
      <c r="X64" s="206">
        <f>INDEX($A$61:$H$74,MATCH($L64,$B$61:$B$74,0),MATCH($M$60,$A$61:$H$61,0))*고양시_Modal_split!N$3 * 0.01</f>
        <v>0.17184728095318619</v>
      </c>
      <c r="Y64" s="206">
        <f>INDEX($A$61:$H$74,MATCH($L64,$B$61:$B$74,0),MATCH($M$60,$A$61:$H$61,0))*고양시_Modal_split!O$3 * 0.01</f>
        <v>0.30932510571573513</v>
      </c>
      <c r="Z64" s="209">
        <f>INDEX($A$61:$H$74,MATCH($L64,$B$61:$B$74,0),MATCH($M$60,$A$61:$H$61,0))*고양시_Modal_split!P$3 * 0.01</f>
        <v>171.84728095318621</v>
      </c>
      <c r="AA64" s="207">
        <f>INDEX($A$61:$H$74,MATCH($L64,$B$61:$B$74,0),MATCH($AA$60,$A$61:$H$61,0))*고양시_Modal_split!C$3 * 0.01</f>
        <v>3.7416606450505152</v>
      </c>
      <c r="AB64" s="207">
        <f>INDEX($A$61:$H$74,MATCH($L64,$B$61:$B$74,0),MATCH($AA$60,$A$61:$H$61,0))*고양시_Modal_split!D$3 * 0.01</f>
        <v>628.46535763116333</v>
      </c>
      <c r="AC64" s="207">
        <f>INDEX($A$61:$H$74,MATCH($L64,$B$61:$B$74,0),MATCH($AA$60,$A$61:$H$61,0))*고양시_Modal_split!E$3 * 0.01</f>
        <v>76.035889536919399</v>
      </c>
      <c r="AD64" s="207">
        <f>INDEX($A$61:$H$74,MATCH($L64,$B$61:$B$74,0),MATCH($AA$60,$A$61:$H$61,0))*고양시_Modal_split!F$3 * 0.01</f>
        <v>122.53938612540438</v>
      </c>
      <c r="AE64" s="207">
        <f>INDEX($A$61:$H$74,MATCH($L64,$B$61:$B$74,0),MATCH($AA$60,$A$61:$H$61,0))*고양시_Modal_split!G$3 * 0.01</f>
        <v>12.294027833737408</v>
      </c>
      <c r="AF64" s="207">
        <f>INDEX($A$61:$H$74,MATCH($L64,$B$61:$B$74,0),MATCH($AA$60,$A$61:$H$61,0))*고양시_Modal_split!H$3 * 0.01</f>
        <v>0.13363073732323269</v>
      </c>
      <c r="AG64" s="207">
        <f>INDEX($A$61:$H$74,MATCH($L64,$B$61:$B$74,0),MATCH($AA$60,$A$61:$H$61,0))*고양시_Modal_split!I$3 * 0.01</f>
        <v>37.149344975858689</v>
      </c>
      <c r="AH64" s="207">
        <f>INDEX($A$61:$H$74,MATCH($L64,$B$61:$B$74,0),MATCH($AA$60,$A$61:$H$61,0))*고양시_Modal_split!J$3 * 0.01</f>
        <v>406.77196441192035</v>
      </c>
      <c r="AI64" s="207">
        <f>INDEX($A$61:$H$74,MATCH($L64,$B$61:$B$74,0),MATCH($AA$60,$A$61:$H$61,0))*고양시_Modal_split!K$3 * 0.01</f>
        <v>2.0044610598484902</v>
      </c>
      <c r="AJ64" s="207">
        <f>INDEX($A$61:$H$74,MATCH($L64,$B$61:$B$74,0),MATCH($AA$60,$A$61:$H$61,0))*고양시_Modal_split!L$3 * 0.01</f>
        <v>40.35648267161627</v>
      </c>
      <c r="AK64" s="207">
        <f>INDEX($A$61:$H$74,MATCH($L64,$B$61:$B$74,0),MATCH($AA$60,$A$61:$H$61,0))*고양시_Modal_split!M$3 * 0.01</f>
        <v>3.073506958434352</v>
      </c>
      <c r="AL64" s="207">
        <f>INDEX($A$61:$H$74,MATCH($L64,$B$61:$B$74,0),MATCH($AA$60,$A$61:$H$61,0))*고양시_Modal_split!N$3 * 0.01</f>
        <v>1.336307373232327</v>
      </c>
      <c r="AM64" s="207">
        <f>INDEX($A$61:$H$74,MATCH($L64,$B$61:$B$74,0),MATCH($AA$60,$A$61:$H$61,0))*고양시_Modal_split!O$3 * 0.01</f>
        <v>2.4053532718181887</v>
      </c>
      <c r="AN64" s="207">
        <f>INDEX($A$61:$H$74,MATCH($L64,$B$61:$B$74,0),MATCH($AA$60,$A$61:$H$61,0))*고양시_Modal_split!P$3 * 0.01</f>
        <v>1336.3073732323269</v>
      </c>
      <c r="AO64" s="303">
        <f>INDEX($A$61:$H$74,MATCH($L64,$B$61:$B$74,0),MATCH($AO$60,$A$61:$H$61,0))*고양시_Modal_split!C$3 * 0.01</f>
        <v>0.16585042927324978</v>
      </c>
      <c r="AP64" s="303">
        <f>INDEX($A$61:$H$74,MATCH($L64,$B$61:$B$74,0),MATCH($AO$60,$A$61:$H$61,0))*고양시_Modal_split!D$3 * 0.01</f>
        <v>27.856948888289061</v>
      </c>
      <c r="AQ64" s="303">
        <f>INDEX($A$61:$H$74,MATCH($L64,$B$61:$B$74,0),MATCH($AO$60,$A$61:$H$61,0))*고양시_Modal_split!E$3 * 0.01</f>
        <v>3.3703176520171114</v>
      </c>
      <c r="AR64" s="303">
        <f>INDEX($A$61:$H$74,MATCH($L64,$B$61:$B$74,0),MATCH($AO$60,$A$61:$H$61,0))*고양시_Modal_split!F$3 * 0.01</f>
        <v>5.4316015586989304</v>
      </c>
      <c r="AS64" s="303">
        <f>INDEX($A$61:$H$74,MATCH($L64,$B$61:$B$74,0),MATCH($AO$60,$A$61:$H$61,0))*고양시_Modal_split!G$3 * 0.01</f>
        <v>0.54493712475496359</v>
      </c>
      <c r="AT64" s="303">
        <f>INDEX($A$61:$H$74,MATCH($L64,$B$61:$B$74,0),MATCH($AO$60,$A$61:$H$61,0))*고양시_Modal_split!H$3 * 0.01</f>
        <v>5.9232296169017783E-3</v>
      </c>
      <c r="AU64" s="303">
        <f>INDEX($A$61:$H$74,MATCH($L64,$B$61:$B$74,0),MATCH($AO$60,$A$61:$H$61,0))*고양시_Modal_split!I$3 * 0.01</f>
        <v>1.6466578334986941</v>
      </c>
      <c r="AV64" s="303">
        <f>INDEX($A$61:$H$74,MATCH($L64,$B$61:$B$74,0),MATCH($AO$60,$A$61:$H$61,0))*고양시_Modal_split!J$3 * 0.01</f>
        <v>18.030310953849011</v>
      </c>
      <c r="AW64" s="303">
        <f>INDEX($A$61:$H$74,MATCH($L64,$B$61:$B$74,0),MATCH($AO$60,$A$61:$H$61,0))*고양시_Modal_split!K$3 * 0.01</f>
        <v>8.8848444253526657E-2</v>
      </c>
      <c r="AX64" s="303">
        <f>INDEX($A$61:$H$74,MATCH($L64,$B$61:$B$74,0),MATCH($AO$60,$A$61:$H$61,0))*고양시_Modal_split!L$3 * 0.01</f>
        <v>1.7888153443043371</v>
      </c>
      <c r="AY64" s="303">
        <f>INDEX($A$61:$H$74,MATCH($L64,$B$61:$B$74,0),MATCH($AO$60,$A$61:$H$61,0))*고양시_Modal_split!M$3 * 0.01</f>
        <v>0.1362342811887409</v>
      </c>
      <c r="AZ64" s="303">
        <f>INDEX($A$61:$H$74,MATCH($L64,$B$61:$B$74,0),MATCH($AO$60,$A$61:$H$61,0))*고양시_Modal_split!N$3 * 0.01</f>
        <v>5.923229616901779E-2</v>
      </c>
      <c r="BA64" s="207">
        <f>INDEX($A$61:$H$74,MATCH($L64,$B$61:$B$74,0),MATCH($AO$60,$A$61:$H$61,0))*고양시_Modal_split!O$3 * 0.01</f>
        <v>0.106618133104232</v>
      </c>
      <c r="BB64" s="207">
        <f>INDEX($A$61:$H$74,MATCH($L64,$B$61:$B$74,0),MATCH($AO$60,$A$61:$H$61,0))*고양시_Modal_split!P$3 * 0.01</f>
        <v>59.232296169017786</v>
      </c>
      <c r="BC64" s="207">
        <f>INDEX($A$61:$H$74,MATCH($L64,$B$61:$B$74,0),MATCH($BC$60,$A$61:$H$61,0))*고양시_Modal_split!C$3 * 0.01</f>
        <v>4.4976387599525186E-4</v>
      </c>
      <c r="BD64" s="207">
        <f>INDEX($A$61:$H$74,MATCH($L64,$B$61:$B$74,0),MATCH($BC$60,$A$61:$H$61,0))*고양시_Modal_split!D$3 * 0.01</f>
        <v>7.5544268171631068E-2</v>
      </c>
      <c r="BE64" s="207">
        <f>INDEX($A$61:$H$74,MATCH($L64,$B$61:$B$74,0),MATCH($BC$60,$A$61:$H$61,0))*고양시_Modal_split!E$3 * 0.01</f>
        <v>9.1398444800463684E-3</v>
      </c>
      <c r="BF64" s="207">
        <f>INDEX($A$61:$H$74,MATCH($L64,$B$61:$B$74,0),MATCH($BC$60,$A$61:$H$61,0))*고양시_Modal_split!F$3 * 0.01</f>
        <v>1.4729766938844502E-2</v>
      </c>
      <c r="BG64" s="207">
        <f>INDEX($A$61:$H$74,MATCH($L64,$B$61:$B$74,0),MATCH($BC$60,$A$61:$H$61,0))*고양시_Modal_split!G$3 * 0.01</f>
        <v>1.4777955925558278E-3</v>
      </c>
      <c r="BH64" s="207">
        <f>INDEX($A$61:$H$74,MATCH($L64,$B$61:$B$74,0),MATCH($BC$60,$A$61:$H$61,0))*고양시_Modal_split!H$3 * 0.01</f>
        <v>1.6062995571258998E-5</v>
      </c>
      <c r="BI64" s="207">
        <f>INDEX($A$61:$H$74,MATCH($L64,$B$61:$B$74,0),MATCH($BC$60,$A$61:$H$61,0))*고양시_Modal_split!I$3 * 0.01</f>
        <v>4.4655127688100014E-3</v>
      </c>
      <c r="BJ64" s="207">
        <f>INDEX($A$61:$H$74,MATCH($L64,$B$61:$B$74,0),MATCH($BC$60,$A$61:$H$61,0))*고양시_Modal_split!J$3 * 0.01</f>
        <v>4.889575851891239E-2</v>
      </c>
      <c r="BK64" s="207">
        <f>INDEX($A$61:$H$74,MATCH($L64,$B$61:$B$74,0),MATCH($BC$60,$A$61:$H$61,0))*고양시_Modal_split!K$3 * 0.01</f>
        <v>2.4094493356888497E-4</v>
      </c>
      <c r="BL64" s="207">
        <f>INDEX($A$61:$H$74,MATCH($L64,$B$61:$B$74,0),MATCH($BC$60,$A$61:$H$61,0))*고양시_Modal_split!L$3 * 0.01</f>
        <v>4.8510246625202173E-3</v>
      </c>
      <c r="BM64" s="207">
        <f>INDEX($A$61:$H$74,MATCH($L64,$B$61:$B$74,0),MATCH($BC$60,$A$61:$H$61,0))*고양시_Modal_split!M$3 * 0.01</f>
        <v>3.6944889813895695E-4</v>
      </c>
      <c r="BN64" s="207">
        <f>INDEX($A$61:$H$74,MATCH($L64,$B$61:$B$74,0),MATCH($BC$60,$A$61:$H$61,0))*고양시_Modal_split!N$3 * 0.01</f>
        <v>1.6062995571258998E-4</v>
      </c>
      <c r="BO64" s="207">
        <f>INDEX($A$61:$H$74,MATCH($L64,$B$61:$B$74,0),MATCH($BC$60,$A$61:$H$61,0))*고양시_Modal_split!O$3 * 0.01</f>
        <v>2.8913392028266194E-4</v>
      </c>
      <c r="BP64" s="207">
        <f>INDEX($A$61:$H$74,MATCH($L64,$B$61:$B$74,0),MATCH($BC$60,$A$61:$H$61,0))*고양시_Modal_split!P$3 * 0.01</f>
        <v>0.16062995571258998</v>
      </c>
      <c r="BQ64" s="207">
        <f>INDEX($A$61:$H$74,MATCH($L64,$B$61:$B$74,0),MATCH($BQ$60,$A$61:$H$61,0))*고양시_Modal_split!C$3 * 0.01</f>
        <v>1.2743309819865508E-3</v>
      </c>
      <c r="BR64" s="207">
        <f>INDEX($A$61:$H$74,MATCH($L64,$B$61:$B$74,0),MATCH($BQ$60,$A$61:$H$61,0))*고양시_Modal_split!D$3 * 0.01</f>
        <v>0.21404209315295536</v>
      </c>
      <c r="BS64" s="207">
        <f>INDEX($A$61:$H$74,MATCH($L64,$B$61:$B$74,0),MATCH($BQ$60,$A$61:$H$61,0))*고양시_Modal_split!E$3 * 0.01</f>
        <v>2.5896226026798121E-2</v>
      </c>
      <c r="BT64" s="207">
        <f>INDEX($A$61:$H$74,MATCH($L64,$B$61:$B$74,0),MATCH($BQ$60,$A$61:$H$61,0))*고양시_Modal_split!F$3 * 0.01</f>
        <v>4.1734339660059544E-2</v>
      </c>
      <c r="BU64" s="207">
        <f>INDEX($A$61:$H$74,MATCH($L64,$B$61:$B$74,0),MATCH($BQ$60,$A$61:$H$61,0))*고양시_Modal_split!G$3 * 0.01</f>
        <v>4.1870875122415243E-3</v>
      </c>
      <c r="BV64" s="207">
        <f>INDEX($A$61:$H$74,MATCH($L64,$B$61:$B$74,0),MATCH($BQ$60,$A$61:$H$61,0))*고양시_Modal_split!H$3 * 0.01</f>
        <v>4.551182078523396E-5</v>
      </c>
      <c r="BW64" s="207">
        <f>INDEX($A$61:$H$74,MATCH($L64,$B$61:$B$74,0),MATCH($BQ$60,$A$61:$H$61,0))*고양시_Modal_split!I$3 * 0.01</f>
        <v>1.2652286178295041E-2</v>
      </c>
      <c r="BX64" s="207">
        <f>INDEX($A$61:$H$74,MATCH($L64,$B$61:$B$74,0),MATCH($BQ$60,$A$61:$H$61,0))*고양시_Modal_split!J$3 * 0.01</f>
        <v>0.1385379824702522</v>
      </c>
      <c r="BY64" s="207">
        <f>INDEX($A$61:$H$74,MATCH($L64,$B$61:$B$74,0),MATCH($BQ$60,$A$61:$H$61,0))*고양시_Modal_split!K$3 * 0.01</f>
        <v>6.8267731177850939E-4</v>
      </c>
      <c r="BZ64" s="207">
        <f>INDEX($A$61:$H$74,MATCH($L64,$B$61:$B$74,0),MATCH($BQ$60,$A$61:$H$61,0))*고양시_Modal_split!L$3 * 0.01</f>
        <v>1.3744569877140659E-2</v>
      </c>
      <c r="CA64" s="207">
        <f>INDEX($A$61:$H$74,MATCH($L64,$B$61:$B$74,0),MATCH($BQ$60,$A$61:$H$61,0))*고양시_Modal_split!M$3 * 0.01</f>
        <v>1.0467718780603811E-3</v>
      </c>
      <c r="CB64" s="207">
        <f>INDEX($A$61:$H$74,MATCH($L64,$B$61:$B$74,0),MATCH($BQ$60,$A$61:$H$61,0))*고양시_Modal_split!N$3 * 0.01</f>
        <v>4.5511820785233968E-4</v>
      </c>
      <c r="CC64" s="207">
        <f>INDEX($A$61:$H$74,MATCH($L64,$B$61:$B$74,0),MATCH($BQ$60,$A$61:$H$61,0))*고양시_Modal_split!O$3 * 0.01</f>
        <v>8.1921277413421131E-4</v>
      </c>
      <c r="CD64" s="207">
        <f>INDEX($A$61:$H$74,MATCH($L64,$B$61:$B$74,0),MATCH($BQ$60,$A$61:$H$61,0))*고양시_Modal_split!P$3 * 0.01</f>
        <v>0.45511820785233964</v>
      </c>
      <c r="CE64" s="304">
        <f t="shared" si="31"/>
        <v>4.3904075558506674</v>
      </c>
      <c r="CF64" s="304">
        <f t="shared" si="13"/>
        <v>737.43166911306048</v>
      </c>
      <c r="CG64" s="304">
        <f t="shared" si="14"/>
        <v>89.219353545679652</v>
      </c>
      <c r="CH64" s="304">
        <f t="shared" si="15"/>
        <v>143.78584745410939</v>
      </c>
      <c r="CI64" s="304">
        <f t="shared" si="16"/>
        <v>14.425624826366482</v>
      </c>
      <c r="CJ64" s="304">
        <f t="shared" si="17"/>
        <v>0.15680026985180959</v>
      </c>
      <c r="CK64" s="304">
        <f t="shared" si="18"/>
        <v>43.590475018803062</v>
      </c>
      <c r="CL64" s="304">
        <f t="shared" si="19"/>
        <v>477.30002142890845</v>
      </c>
      <c r="CM64" s="304">
        <f t="shared" si="20"/>
        <v>2.3520040477771436</v>
      </c>
      <c r="CN64" s="304">
        <f t="shared" si="21"/>
        <v>47.353681495246491</v>
      </c>
      <c r="CO64" s="304">
        <f t="shared" si="22"/>
        <v>3.6064062065916205</v>
      </c>
      <c r="CP64" s="304">
        <f t="shared" si="23"/>
        <v>1.5680026985180957</v>
      </c>
      <c r="CQ64" s="304">
        <f t="shared" si="24"/>
        <v>2.8224048573325731</v>
      </c>
      <c r="CR64" s="304">
        <f t="shared" si="25"/>
        <v>1568.0026985180962</v>
      </c>
      <c r="CS64" s="305">
        <f t="shared" si="32"/>
        <v>0</v>
      </c>
      <c r="CV64" s="265" t="s">
        <v>605</v>
      </c>
      <c r="CW64" s="265" t="s">
        <v>608</v>
      </c>
      <c r="CX64" s="267">
        <f>INDEX($M$60:$Z$74,MATCH($CW64,$L$60:$L$74,0),MATCH(CX$61,$M$61:$Z$61,0))/INDEX(고양시_재차인원!$D$4:$H$35,MATCH("고양시",고양시_재차인원!$B$4:$B$35,0),MATCH($CX$60,고양시_재차인원!$D$4:$H$4,0))</f>
        <v>72.160514493110242</v>
      </c>
      <c r="CY64" s="267">
        <f>INDEX($M$60:$Z$74,MATCH($CW64,$L$60:$L$74,0),MATCH(CY$61,$M$61:$Z$61,0))/INDEX(고양시_재차인원!$K$4:$O$20,MATCH("경기도",고양시_재차인원!$K$4:$K$20,0),MATCH($CY$61,고양시_재차인원!$K$4:$O$4,0))</f>
        <v>5.96899204422321E-4</v>
      </c>
      <c r="CZ64" s="267">
        <f>INDEX($M$60:$Z$74,MATCH($CW64,$L$60:$L$74,0),MATCH(CZ$61,$M$61:$Z$61,0))/INDEX(고양시_재차인원!$K$4:$O$20,MATCH("경기도",고양시_재차인원!$K$4:$K$20,0),MATCH($CZ$61,고양시_재차인원!$K$4:$O$4,0))</f>
        <v>0.1659379788294052</v>
      </c>
      <c r="DA64" s="267">
        <f>INDEX($M$60:$Z$74,MATCH($CW64,$L$60:$L$74,0),MATCH(DA$61,$M$61:$Z$61,0))/INDEX(고양시_재차인원!$D$4:$H$35,MATCH("고양시",고양시_재차인원!$B$4:$B$35,0),MATCH($CX$60,고양시_재차인원!$D$4:$H$4,0))</f>
        <v>4.6337391828448418</v>
      </c>
      <c r="DB64" s="267">
        <f>INDEX($AA$60:$AN$74,MATCH($CW64,$L$60:$L$74,0),MATCH(DB$61,$AA$61:$AN$61,0))/INDEX(고양시_재차인원!$D$4:$H$35,MATCH("고양시",고양시_재차인원!$B$4:$B$35,0),MATCH($DB$60,고양시_재차인원!$D$4:$H$4,0))</f>
        <v>445.7201117951513</v>
      </c>
      <c r="DC64" s="267">
        <f>INDEX($AA$60:$AN$74,MATCH($CW64,$L$60:$L$74,0),MATCH(DC$61,$AA$61:$AN$61,0))/INDEX(고양시_재차인원!$K$4:$O$20,MATCH("경기도",고양시_재차인원!$K$4:$K$20,0),MATCH($DC$61,고양시_재차인원!$K$4:$O$4,0))</f>
        <v>4.6415678125471581E-3</v>
      </c>
      <c r="DD64" s="267">
        <f>INDEX($AA$60:$AN$74,MATCH($CW64,$L$60:$L$74,0),MATCH(DD$61,$AA$61:$AN$61,0))/INDEX(고양시_재차인원!$K$4:$O$20,MATCH("경기도",고양시_재차인원!$K$4:$K$20,0),MATCH($DD$61,고양시_재차인원!$K$4:$O$4,0))</f>
        <v>1.2903558518881102</v>
      </c>
      <c r="DE64" s="267">
        <f>INDEX($AA$60:$AN$74,MATCH($CW64,$L$60:$L$74,0),MATCH(DE$61,$AA$61:$AN$61,0))/INDEX(고양시_재차인원!$D$4:$H$35,MATCH("고양시",고양시_재차인원!$B$4:$B$35,0),MATCH($DB$60,고양시_재차인원!$D$4:$H$4,0))</f>
        <v>28.62161891603991</v>
      </c>
      <c r="DF64" s="267">
        <f>INDEX($AO$60:$BB$74,MATCH($CW64,$L$60:$L$74,0),MATCH(DF$61,$AO$61:$BB$61,0))/INDEX(고양시_재차인원!$D$4:$H$35,MATCH("고양시",고양시_재차인원!$B$4:$B$35,0),MATCH($DF$60,고양시_재차인원!$D$4:$H$4,0))</f>
        <v>21.428422221760815</v>
      </c>
      <c r="DG64" s="267">
        <f>INDEX($AO$60:$BB$74,MATCH($CW64,$L$60:$L$74,0),MATCH(DG$61,$AO$61:$BB$61,0))/INDEX(고양시_재차인원!$K$4:$O$20,MATCH("경기도",고양시_재차인원!$K$4:$K$20,0),MATCH($DG$61,고양시_재차인원!$K$4:$O$4,0))</f>
        <v>2.0573913223000272E-4</v>
      </c>
      <c r="DH64" s="267">
        <f>INDEX($AO$60:$BB$74,MATCH($CW64,$L$60:$L$74,0),MATCH(DH$61,$AO$61:$BB$61,0))/INDEX(고양시_재차인원!$K$4:$O$20,MATCH("경기도",고양시_재차인원!$K$4:$K$20,0),MATCH($DH$61,고양시_재차인원!$K$4:$O$4,0))</f>
        <v>5.719547875994075E-2</v>
      </c>
      <c r="DI64" s="267">
        <f>INDEX($AO$60:$BB$74,MATCH($CW64,$L$60:$L$74,0),MATCH(DI$61,$AO$61:$BB$61,0))/INDEX(고양시_재차인원!$D$4:$H$35,MATCH("고양시",고양시_재차인원!$B$4:$B$35,0),MATCH($DF$60,고양시_재차인원!$D$4:$H$4,0))</f>
        <v>1.3760118033110285</v>
      </c>
      <c r="DJ64" s="267">
        <f>INDEX($BC$60:$BP$74,MATCH($CW64,$L$60:$L$74,0),MATCH(DJ$61,$BC$61:$BP$61,0))/INDEX(고양시_재차인원!$D$4:$H$35,MATCH("고양시",고양시_재차인원!$B$4:$B$35,0),MATCH($DJ$60,고양시_재차인원!$D$4:$H$4,0))</f>
        <v>5.5547256008552252E-2</v>
      </c>
      <c r="DK64" s="267">
        <f>INDEX($BC$60:$BP$74,MATCH($CW64,$L$60:$L$74,0),MATCH(DK$61,$BC$61:$BP$61,0))/INDEX(고양시_재차인원!$K$4:$O$20,MATCH("경기도",고양시_재차인원!$K$4:$K$20,0),MATCH($DK$61,고양시_재차인원!$K$4:$O$4,0))</f>
        <v>5.5793662977627645E-7</v>
      </c>
      <c r="DL64" s="267">
        <f>INDEX($BC$60:$BP$74,MATCH($CW64,$L$60:$L$74,0),MATCH(DL$61,$BC$61:$BP$61,0))/INDEX(고양시_재차인원!$K$4:$O$20,MATCH("경기도",고양시_재차인원!$K$4:$K$20,0),MATCH($DL$61,고양시_재차인원!$K$4:$O$4,0))</f>
        <v>1.5510638307780484E-4</v>
      </c>
      <c r="DM64" s="267">
        <f>INDEX($BC$60:$BP$74,MATCH($CW64,$L$60:$L$74,0),MATCH(DM$61,$BC$61:$BP$61,0))/INDEX(고양시_재차인원!$D$4:$H$35,MATCH("고양시",고양시_재차인원!$B$4:$B$35,0),MATCH($DJ$60,고양시_재차인원!$D$4:$H$4,0))</f>
        <v>3.5669298989119244E-3</v>
      </c>
      <c r="DN64" s="267">
        <f>INDEX($BQ$60:$CD$74,MATCH($CW64,$L$60:$L$74,0),MATCH(DN$61,$BQ$61:$CD$61,0))/INDEX(고양시_재차인원!$D$4:$H$35,MATCH("고양시",고양시_재차인원!$B$4:$B$35,0),MATCH($DN$60,고양시_재차인원!$D$4:$H$4,0))</f>
        <v>0.16987467710552012</v>
      </c>
      <c r="DO64" s="267">
        <f>INDEX($BQ$60:$CD$74,MATCH($CW64,$L$60:$L$74,0),MATCH(DO$61,$BQ$61:$CD$61,0))/INDEX(고양시_재차인원!$K$4:$O$20,MATCH("경기도",고양시_재차인원!$K$4:$K$20,0),MATCH($DO$61,고양시_재차인원!$K$4:$O$4,0))</f>
        <v>1.5808204510327877E-6</v>
      </c>
      <c r="DP64" s="267">
        <f>INDEX($BQ$60:$CD$74,MATCH($CW64,$L$60:$L$74,0),MATCH(DP$61,$BQ$61:$CD$61,0))/INDEX(고양시_재차인원!$K$4:$O$20,MATCH("경기도",고양시_재차인원!$K$4:$K$20,0),MATCH($DP$61,고양시_재차인원!$K$4:$O$4,0))</f>
        <v>4.3946808538711501E-4</v>
      </c>
      <c r="DQ64" s="267">
        <f>INDEX($BQ$60:$CD$74,MATCH($CW64,$L$60:$L$74,0),MATCH(DQ$61,$BQ$61:$CD$61,0))/INDEX(고양시_재차인원!$D$4:$H$35,MATCH("고양시",고양시_재차인원!$B$4:$B$35,0),MATCH($DN$60,고양시_재차인원!$D$4:$H$4,0))</f>
        <v>1.0908388791381476E-2</v>
      </c>
      <c r="DR64" s="270">
        <f t="shared" si="33"/>
        <v>539.53447044313646</v>
      </c>
      <c r="DS64" s="270">
        <f t="shared" si="26"/>
        <v>5.4463449062802909E-3</v>
      </c>
      <c r="DT64" s="270">
        <f t="shared" si="27"/>
        <v>1.514083883945921</v>
      </c>
      <c r="DU64" s="270">
        <f t="shared" si="28"/>
        <v>34.645845220886073</v>
      </c>
      <c r="DW64" s="278" t="s">
        <v>605</v>
      </c>
      <c r="DX64" s="278" t="s">
        <v>608</v>
      </c>
      <c r="DY64" s="281">
        <f t="shared" si="34"/>
        <v>574.18031566402249</v>
      </c>
      <c r="DZ64" s="281">
        <f t="shared" si="35"/>
        <v>1.5195302288522012</v>
      </c>
      <c r="EB64" s="278" t="s">
        <v>622</v>
      </c>
      <c r="EC64" s="278" t="s">
        <v>608</v>
      </c>
      <c r="ED64" s="309">
        <f t="shared" si="36"/>
        <v>674.38073811526101</v>
      </c>
      <c r="EE64" s="309">
        <f t="shared" si="29"/>
        <v>1.7847040195669461</v>
      </c>
      <c r="EK64" s="420" t="s">
        <v>622</v>
      </c>
      <c r="EL64" s="420" t="s">
        <v>618</v>
      </c>
      <c r="EM64" s="420" t="s">
        <v>568</v>
      </c>
      <c r="EN64" s="420">
        <v>38657.855799999998</v>
      </c>
      <c r="EO64" s="420">
        <v>1</v>
      </c>
      <c r="EP64" s="421">
        <v>849003</v>
      </c>
      <c r="EQ64" s="422">
        <f t="shared" si="37"/>
        <v>804.1882203638562</v>
      </c>
      <c r="ER64" s="422">
        <f t="shared" si="38"/>
        <v>2.1282309358107154</v>
      </c>
      <c r="ES64">
        <v>0</v>
      </c>
      <c r="EU64" s="306" t="s">
        <v>622</v>
      </c>
      <c r="EV64" s="306" t="s">
        <v>198</v>
      </c>
      <c r="EW64" s="306" t="s">
        <v>568</v>
      </c>
      <c r="EX64" s="306">
        <v>38657.855799999998</v>
      </c>
      <c r="EY64" s="306">
        <v>1</v>
      </c>
      <c r="EZ64" s="307">
        <v>849003</v>
      </c>
      <c r="FA64" s="308">
        <f t="shared" si="39"/>
        <v>804.1882203638562</v>
      </c>
      <c r="FB64" s="308">
        <f t="shared" si="30"/>
        <v>2.1282309358107154</v>
      </c>
      <c r="FD64" s="101"/>
      <c r="FE64" s="101"/>
      <c r="FF64" s="101"/>
      <c r="FG64" s="101"/>
      <c r="FH64" s="101"/>
      <c r="FI64" s="374"/>
      <c r="FJ64" s="404"/>
      <c r="FK64" s="404"/>
    </row>
    <row r="65" spans="1:167">
      <c r="A65" s="205" t="s">
        <v>605</v>
      </c>
      <c r="B65" s="205" t="s">
        <v>609</v>
      </c>
      <c r="C65" s="201">
        <f>$L32*KTDB_TripDistribution_2035!L$12</f>
        <v>175.23226880448203</v>
      </c>
      <c r="D65" s="201">
        <f>$L32*KTDB_TripDistribution_2035!M$12</f>
        <v>1362.6294901660287</v>
      </c>
      <c r="E65" s="201">
        <f>$L32*KTDB_TripDistribution_2035!N$12</f>
        <v>60.399033296450725</v>
      </c>
      <c r="F65" s="201">
        <f>$L32*KTDB_TripDistribution_2035!O$12</f>
        <v>0.16379398860054373</v>
      </c>
      <c r="G65" s="201">
        <f>$L32*KTDB_TripDistribution_2035!P$12</f>
        <v>0.46408296770154195</v>
      </c>
      <c r="H65" s="201">
        <f>$L32*KTDB_TripDistribution_2035!Q$12</f>
        <v>1598.8886692232636</v>
      </c>
      <c r="J65" s="230">
        <f t="shared" si="12"/>
        <v>1598.8886692232638</v>
      </c>
      <c r="K65" s="206" t="s">
        <v>605</v>
      </c>
      <c r="L65" s="206" t="s">
        <v>609</v>
      </c>
      <c r="M65" s="206">
        <f>INDEX($A$61:$H$74,MATCH($L65,$B$61:$B$74,0),MATCH($M$60,$A$61:$H$61,0))*고양시_Modal_split!C$3 * 0.01</f>
        <v>0.49065035265254964</v>
      </c>
      <c r="N65" s="206">
        <f>INDEX($A$61:$H$74,MATCH($L65,$B$61:$B$74,0),MATCH($M$60,$A$61:$H$61,0))*고양시_Modal_split!D$3 * 0.01</f>
        <v>82.411736018747902</v>
      </c>
      <c r="O65" s="206">
        <f>INDEX($A$61:$H$74,MATCH($L65,$B$61:$B$74,0),MATCH($M$60,$A$61:$H$61,0))*고양시_Modal_split!E$3 * 0.01</f>
        <v>9.9707160949750264</v>
      </c>
      <c r="P65" s="206">
        <f>INDEX($A$61:$H$74,MATCH($L65,$B$61:$B$74,0),MATCH($M$60,$A$61:$H$61,0))*고양시_Modal_split!F$3 * 0.01</f>
        <v>16.068799049371002</v>
      </c>
      <c r="Q65" s="206">
        <f>INDEX($A$61:$H$74,MATCH($L65,$B$61:$B$74,0),MATCH($M$60,$A$61:$H$61,0))*고양시_Modal_split!G$3 * 0.01</f>
        <v>1.6121368730012346</v>
      </c>
      <c r="R65" s="206">
        <f>INDEX($A$61:$H$74,MATCH($L65,$B$61:$B$74,0),MATCH($M$60,$A$61:$H$61,0))*고양시_Modal_split!H$3 * 0.01</f>
        <v>1.7523226880448203E-2</v>
      </c>
      <c r="S65" s="206">
        <f>INDEX($A$61:$H$74,MATCH($L65,$B$61:$B$74,0),MATCH($M$60,$A$61:$H$61,0))*고양시_Modal_split!I$3 * 0.01</f>
        <v>4.8714570727646</v>
      </c>
      <c r="T65" s="206">
        <f>INDEX($A$61:$H$74,MATCH($L65,$B$61:$B$74,0),MATCH($M$60,$A$61:$H$61,0))*고양시_Modal_split!J$3 * 0.01</f>
        <v>53.340702624084336</v>
      </c>
      <c r="U65" s="206">
        <f>INDEX($A$61:$H$74,MATCH($L65,$B$61:$B$74,0),MATCH($M$60,$A$61:$H$61,0))*고양시_Modal_split!K$3 * 0.01</f>
        <v>0.26284840320672304</v>
      </c>
      <c r="V65" s="206">
        <f>INDEX($A$61:$H$74,MATCH($L65,$B$61:$B$74,0),MATCH($M$60,$A$61:$H$61,0))*고양시_Modal_split!L$3 * 0.01</f>
        <v>5.2920145178953577</v>
      </c>
      <c r="W65" s="206">
        <f>INDEX($A$61:$H$74,MATCH($L65,$B$61:$B$74,0),MATCH($M$60,$A$61:$H$61,0))*고양시_Modal_split!M$3 * 0.01</f>
        <v>0.40303421825030866</v>
      </c>
      <c r="X65" s="206">
        <f>INDEX($A$61:$H$74,MATCH($L65,$B$61:$B$74,0),MATCH($M$60,$A$61:$H$61,0))*고양시_Modal_split!N$3 * 0.01</f>
        <v>0.17523226880448203</v>
      </c>
      <c r="Y65" s="206">
        <f>INDEX($A$61:$H$74,MATCH($L65,$B$61:$B$74,0),MATCH($M$60,$A$61:$H$61,0))*고양시_Modal_split!O$3 * 0.01</f>
        <v>0.31541808384806763</v>
      </c>
      <c r="Z65" s="209">
        <f>INDEX($A$61:$H$74,MATCH($L65,$B$61:$B$74,0),MATCH($M$60,$A$61:$H$61,0))*고양시_Modal_split!P$3 * 0.01</f>
        <v>175.23226880448206</v>
      </c>
      <c r="AA65" s="207">
        <f>INDEX($A$61:$H$74,MATCH($L65,$B$61:$B$74,0),MATCH($AA$60,$A$61:$H$61,0))*고양시_Modal_split!C$3 * 0.01</f>
        <v>3.8153625724648799</v>
      </c>
      <c r="AB65" s="207">
        <f>INDEX($A$61:$H$74,MATCH($L65,$B$61:$B$74,0),MATCH($AA$60,$A$61:$H$61,0))*고양시_Modal_split!D$3 * 0.01</f>
        <v>640.84464922508334</v>
      </c>
      <c r="AC65" s="207">
        <f>INDEX($A$61:$H$74,MATCH($L65,$B$61:$B$74,0),MATCH($AA$60,$A$61:$H$61,0))*고양시_Modal_split!E$3 * 0.01</f>
        <v>77.533617990447027</v>
      </c>
      <c r="AD65" s="207">
        <f>INDEX($A$61:$H$74,MATCH($L65,$B$61:$B$74,0),MATCH($AA$60,$A$61:$H$61,0))*고양시_Modal_split!F$3 * 0.01</f>
        <v>124.95312424822484</v>
      </c>
      <c r="AE65" s="207">
        <f>INDEX($A$61:$H$74,MATCH($L65,$B$61:$B$74,0),MATCH($AA$60,$A$61:$H$61,0))*고양시_Modal_split!G$3 * 0.01</f>
        <v>12.536191309527466</v>
      </c>
      <c r="AF65" s="207">
        <f>INDEX($A$61:$H$74,MATCH($L65,$B$61:$B$74,0),MATCH($AA$60,$A$61:$H$61,0))*고양시_Modal_split!H$3 * 0.01</f>
        <v>0.13626294901660288</v>
      </c>
      <c r="AG65" s="207">
        <f>INDEX($A$61:$H$74,MATCH($L65,$B$61:$B$74,0),MATCH($AA$60,$A$61:$H$61,0))*고양시_Modal_split!I$3 * 0.01</f>
        <v>37.881099826615596</v>
      </c>
      <c r="AH65" s="207">
        <f>INDEX($A$61:$H$74,MATCH($L65,$B$61:$B$74,0),MATCH($AA$60,$A$61:$H$61,0))*고양시_Modal_split!J$3 * 0.01</f>
        <v>414.78441680653918</v>
      </c>
      <c r="AI65" s="207">
        <f>INDEX($A$61:$H$74,MATCH($L65,$B$61:$B$74,0),MATCH($AA$60,$A$61:$H$61,0))*고양시_Modal_split!K$3 * 0.01</f>
        <v>2.0439442352490431</v>
      </c>
      <c r="AJ65" s="207">
        <f>INDEX($A$61:$H$74,MATCH($L65,$B$61:$B$74,0),MATCH($AA$60,$A$61:$H$61,0))*고양시_Modal_split!L$3 * 0.01</f>
        <v>41.151410603014064</v>
      </c>
      <c r="AK65" s="207">
        <f>INDEX($A$61:$H$74,MATCH($L65,$B$61:$B$74,0),MATCH($AA$60,$A$61:$H$61,0))*고양시_Modal_split!M$3 * 0.01</f>
        <v>3.1340478273818664</v>
      </c>
      <c r="AL65" s="207">
        <f>INDEX($A$61:$H$74,MATCH($L65,$B$61:$B$74,0),MATCH($AA$60,$A$61:$H$61,0))*고양시_Modal_split!N$3 * 0.01</f>
        <v>1.3626294901660287</v>
      </c>
      <c r="AM65" s="207">
        <f>INDEX($A$61:$H$74,MATCH($L65,$B$61:$B$74,0),MATCH($AA$60,$A$61:$H$61,0))*고양시_Modal_split!O$3 * 0.01</f>
        <v>2.452733082298852</v>
      </c>
      <c r="AN65" s="207">
        <f>INDEX($A$61:$H$74,MATCH($L65,$B$61:$B$74,0),MATCH($AA$60,$A$61:$H$61,0))*고양시_Modal_split!P$3 * 0.01</f>
        <v>1362.629490166029</v>
      </c>
      <c r="AO65" s="303">
        <f>INDEX($A$61:$H$74,MATCH($L65,$B$61:$B$74,0),MATCH($AO$60,$A$61:$H$61,0))*고양시_Modal_split!C$3 * 0.01</f>
        <v>0.16911729323006203</v>
      </c>
      <c r="AP65" s="303">
        <f>INDEX($A$61:$H$74,MATCH($L65,$B$61:$B$74,0),MATCH($AO$60,$A$61:$H$61,0))*고양시_Modal_split!D$3 * 0.01</f>
        <v>28.405665359320778</v>
      </c>
      <c r="AQ65" s="303">
        <f>INDEX($A$61:$H$74,MATCH($L65,$B$61:$B$74,0),MATCH($AO$60,$A$61:$H$61,0))*고양시_Modal_split!E$3 * 0.01</f>
        <v>3.4367049945680459</v>
      </c>
      <c r="AR65" s="303">
        <f>INDEX($A$61:$H$74,MATCH($L65,$B$61:$B$74,0),MATCH($AO$60,$A$61:$H$61,0))*고양시_Modal_split!F$3 * 0.01</f>
        <v>5.5385913532845317</v>
      </c>
      <c r="AS65" s="303">
        <f>INDEX($A$61:$H$74,MATCH($L65,$B$61:$B$74,0),MATCH($AO$60,$A$61:$H$61,0))*고양시_Modal_split!G$3 * 0.01</f>
        <v>0.55567110632734662</v>
      </c>
      <c r="AT65" s="303">
        <f>INDEX($A$61:$H$74,MATCH($L65,$B$61:$B$74,0),MATCH($AO$60,$A$61:$H$61,0))*고양시_Modal_split!H$3 * 0.01</f>
        <v>6.0399033296450726E-3</v>
      </c>
      <c r="AU65" s="303">
        <f>INDEX($A$61:$H$74,MATCH($L65,$B$61:$B$74,0),MATCH($AO$60,$A$61:$H$61,0))*고양시_Modal_split!I$3 * 0.01</f>
        <v>1.67909312564133</v>
      </c>
      <c r="AV65" s="303">
        <f>INDEX($A$61:$H$74,MATCH($L65,$B$61:$B$74,0),MATCH($AO$60,$A$61:$H$61,0))*고양시_Modal_split!J$3 * 0.01</f>
        <v>18.385465735439602</v>
      </c>
      <c r="AW65" s="303">
        <f>INDEX($A$61:$H$74,MATCH($L65,$B$61:$B$74,0),MATCH($AO$60,$A$61:$H$61,0))*고양시_Modal_split!K$3 * 0.01</f>
        <v>9.0598549944676088E-2</v>
      </c>
      <c r="AX65" s="303">
        <f>INDEX($A$61:$H$74,MATCH($L65,$B$61:$B$74,0),MATCH($AO$60,$A$61:$H$61,0))*고양시_Modal_split!L$3 * 0.01</f>
        <v>1.824050805552812</v>
      </c>
      <c r="AY65" s="303">
        <f>INDEX($A$61:$H$74,MATCH($L65,$B$61:$B$74,0),MATCH($AO$60,$A$61:$H$61,0))*고양시_Modal_split!M$3 * 0.01</f>
        <v>0.13891777658183666</v>
      </c>
      <c r="AZ65" s="303">
        <f>INDEX($A$61:$H$74,MATCH($L65,$B$61:$B$74,0),MATCH($AO$60,$A$61:$H$61,0))*고양시_Modal_split!N$3 * 0.01</f>
        <v>6.039903329645073E-2</v>
      </c>
      <c r="BA65" s="207">
        <f>INDEX($A$61:$H$74,MATCH($L65,$B$61:$B$74,0),MATCH($AO$60,$A$61:$H$61,0))*고양시_Modal_split!O$3 * 0.01</f>
        <v>0.1087182599336113</v>
      </c>
      <c r="BB65" s="207">
        <f>INDEX($A$61:$H$74,MATCH($L65,$B$61:$B$74,0),MATCH($AO$60,$A$61:$H$61,0))*고양시_Modal_split!P$3 * 0.01</f>
        <v>60.399033296450725</v>
      </c>
      <c r="BC65" s="207">
        <f>INDEX($A$61:$H$74,MATCH($L65,$B$61:$B$74,0),MATCH($BC$60,$A$61:$H$61,0))*고양시_Modal_split!C$3 * 0.01</f>
        <v>4.586231680815224E-4</v>
      </c>
      <c r="BD65" s="207">
        <f>INDEX($A$61:$H$74,MATCH($L65,$B$61:$B$74,0),MATCH($BC$60,$A$61:$H$61,0))*고양시_Modal_split!D$3 * 0.01</f>
        <v>7.7032312838835715E-2</v>
      </c>
      <c r="BE65" s="207">
        <f>INDEX($A$61:$H$74,MATCH($L65,$B$61:$B$74,0),MATCH($BC$60,$A$61:$H$61,0))*고양시_Modal_split!E$3 * 0.01</f>
        <v>9.3198779513709376E-3</v>
      </c>
      <c r="BF65" s="207">
        <f>INDEX($A$61:$H$74,MATCH($L65,$B$61:$B$74,0),MATCH($BC$60,$A$61:$H$61,0))*고양시_Modal_split!F$3 * 0.01</f>
        <v>1.501990875466986E-2</v>
      </c>
      <c r="BG65" s="207">
        <f>INDEX($A$61:$H$74,MATCH($L65,$B$61:$B$74,0),MATCH($BC$60,$A$61:$H$61,0))*고양시_Modal_split!G$3 * 0.01</f>
        <v>1.5069046951250024E-3</v>
      </c>
      <c r="BH65" s="207">
        <f>INDEX($A$61:$H$74,MATCH($L65,$B$61:$B$74,0),MATCH($BC$60,$A$61:$H$61,0))*고양시_Modal_split!H$3 * 0.01</f>
        <v>1.6379398860054374E-5</v>
      </c>
      <c r="BI65" s="207">
        <f>INDEX($A$61:$H$74,MATCH($L65,$B$61:$B$74,0),MATCH($BC$60,$A$61:$H$61,0))*고양시_Modal_split!I$3 * 0.01</f>
        <v>4.5534728830951155E-3</v>
      </c>
      <c r="BJ65" s="207">
        <f>INDEX($A$61:$H$74,MATCH($L65,$B$61:$B$74,0),MATCH($BC$60,$A$61:$H$61,0))*고양시_Modal_split!J$3 * 0.01</f>
        <v>4.9858890130005509E-2</v>
      </c>
      <c r="BK65" s="207">
        <f>INDEX($A$61:$H$74,MATCH($L65,$B$61:$B$74,0),MATCH($BC$60,$A$61:$H$61,0))*고양시_Modal_split!K$3 * 0.01</f>
        <v>2.4569098290081555E-4</v>
      </c>
      <c r="BL65" s="207">
        <f>INDEX($A$61:$H$74,MATCH($L65,$B$61:$B$74,0),MATCH($BC$60,$A$61:$H$61,0))*고양시_Modal_split!L$3 * 0.01</f>
        <v>4.9465784557364209E-3</v>
      </c>
      <c r="BM65" s="207">
        <f>INDEX($A$61:$H$74,MATCH($L65,$B$61:$B$74,0),MATCH($BC$60,$A$61:$H$61,0))*고양시_Modal_split!M$3 * 0.01</f>
        <v>3.7672617378125059E-4</v>
      </c>
      <c r="BN65" s="207">
        <f>INDEX($A$61:$H$74,MATCH($L65,$B$61:$B$74,0),MATCH($BC$60,$A$61:$H$61,0))*고양시_Modal_split!N$3 * 0.01</f>
        <v>1.6379398860054376E-4</v>
      </c>
      <c r="BO65" s="207">
        <f>INDEX($A$61:$H$74,MATCH($L65,$B$61:$B$74,0),MATCH($BC$60,$A$61:$H$61,0))*고양시_Modal_split!O$3 * 0.01</f>
        <v>2.9482917948097867E-4</v>
      </c>
      <c r="BP65" s="207">
        <f>INDEX($A$61:$H$74,MATCH($L65,$B$61:$B$74,0),MATCH($BC$60,$A$61:$H$61,0))*고양시_Modal_split!P$3 * 0.01</f>
        <v>0.16379398860054373</v>
      </c>
      <c r="BQ65" s="207">
        <f>INDEX($A$61:$H$74,MATCH($L65,$B$61:$B$74,0),MATCH($BQ$60,$A$61:$H$61,0))*고양시_Modal_split!C$3 * 0.01</f>
        <v>1.2994323095643174E-3</v>
      </c>
      <c r="BR65" s="207">
        <f>INDEX($A$61:$H$74,MATCH($L65,$B$61:$B$74,0),MATCH($BQ$60,$A$61:$H$61,0))*고양시_Modal_split!D$3 * 0.01</f>
        <v>0.21825821971003517</v>
      </c>
      <c r="BS65" s="207">
        <f>INDEX($A$61:$H$74,MATCH($L65,$B$61:$B$74,0),MATCH($BQ$60,$A$61:$H$61,0))*고양시_Modal_split!E$3 * 0.01</f>
        <v>2.6406320862217735E-2</v>
      </c>
      <c r="BT65" s="207">
        <f>INDEX($A$61:$H$74,MATCH($L65,$B$61:$B$74,0),MATCH($BQ$60,$A$61:$H$61,0))*고양시_Modal_split!F$3 * 0.01</f>
        <v>4.2556408138231402E-2</v>
      </c>
      <c r="BU65" s="207">
        <f>INDEX($A$61:$H$74,MATCH($L65,$B$61:$B$74,0),MATCH($BQ$60,$A$61:$H$61,0))*고양시_Modal_split!G$3 * 0.01</f>
        <v>4.2695633028541858E-3</v>
      </c>
      <c r="BV65" s="207">
        <f>INDEX($A$61:$H$74,MATCH($L65,$B$61:$B$74,0),MATCH($BQ$60,$A$61:$H$61,0))*고양시_Modal_split!H$3 * 0.01</f>
        <v>4.6408296770154194E-5</v>
      </c>
      <c r="BW65" s="207">
        <f>INDEX($A$61:$H$74,MATCH($L65,$B$61:$B$74,0),MATCH($BQ$60,$A$61:$H$61,0))*고양시_Modal_split!I$3 * 0.01</f>
        <v>1.2901506502102866E-2</v>
      </c>
      <c r="BX65" s="207">
        <f>INDEX($A$61:$H$74,MATCH($L65,$B$61:$B$74,0),MATCH($BQ$60,$A$61:$H$61,0))*고양시_Modal_split!J$3 * 0.01</f>
        <v>0.14126685536834938</v>
      </c>
      <c r="BY65" s="207">
        <f>INDEX($A$61:$H$74,MATCH($L65,$B$61:$B$74,0),MATCH($BQ$60,$A$61:$H$61,0))*고양시_Modal_split!K$3 * 0.01</f>
        <v>6.9612445155231302E-4</v>
      </c>
      <c r="BZ65" s="207">
        <f>INDEX($A$61:$H$74,MATCH($L65,$B$61:$B$74,0),MATCH($BQ$60,$A$61:$H$61,0))*고양시_Modal_split!L$3 * 0.01</f>
        <v>1.4015305624586567E-2</v>
      </c>
      <c r="CA65" s="207">
        <f>INDEX($A$61:$H$74,MATCH($L65,$B$61:$B$74,0),MATCH($BQ$60,$A$61:$H$61,0))*고양시_Modal_split!M$3 * 0.01</f>
        <v>1.0673908257135465E-3</v>
      </c>
      <c r="CB65" s="207">
        <f>INDEX($A$61:$H$74,MATCH($L65,$B$61:$B$74,0),MATCH($BQ$60,$A$61:$H$61,0))*고양시_Modal_split!N$3 * 0.01</f>
        <v>4.6408296770154199E-4</v>
      </c>
      <c r="CC65" s="207">
        <f>INDEX($A$61:$H$74,MATCH($L65,$B$61:$B$74,0),MATCH($BQ$60,$A$61:$H$61,0))*고양시_Modal_split!O$3 * 0.01</f>
        <v>8.353493418627756E-4</v>
      </c>
      <c r="CD65" s="207">
        <f>INDEX($A$61:$H$74,MATCH($L65,$B$61:$B$74,0),MATCH($BQ$60,$A$61:$H$61,0))*고양시_Modal_split!P$3 * 0.01</f>
        <v>0.46408296770154195</v>
      </c>
      <c r="CE65" s="304">
        <f t="shared" si="31"/>
        <v>4.4768882738251383</v>
      </c>
      <c r="CF65" s="304">
        <f t="shared" si="13"/>
        <v>751.95734113570086</v>
      </c>
      <c r="CG65" s="304">
        <f t="shared" si="14"/>
        <v>90.976765278803697</v>
      </c>
      <c r="CH65" s="304">
        <f t="shared" si="15"/>
        <v>146.6180909677733</v>
      </c>
      <c r="CI65" s="304">
        <f t="shared" si="16"/>
        <v>14.709775756854027</v>
      </c>
      <c r="CJ65" s="304">
        <f t="shared" si="17"/>
        <v>0.15988886692232637</v>
      </c>
      <c r="CK65" s="304">
        <f t="shared" si="18"/>
        <v>44.449105004406725</v>
      </c>
      <c r="CL65" s="304">
        <f t="shared" si="19"/>
        <v>486.70171091156146</v>
      </c>
      <c r="CM65" s="304">
        <f t="shared" si="20"/>
        <v>2.3983330038348951</v>
      </c>
      <c r="CN65" s="304">
        <f t="shared" si="21"/>
        <v>48.286437810542566</v>
      </c>
      <c r="CO65" s="304">
        <f t="shared" si="22"/>
        <v>3.6774439392135068</v>
      </c>
      <c r="CP65" s="304">
        <f t="shared" si="23"/>
        <v>1.5988886692232638</v>
      </c>
      <c r="CQ65" s="304">
        <f t="shared" si="24"/>
        <v>2.8779996046018748</v>
      </c>
      <c r="CR65" s="304">
        <f t="shared" si="25"/>
        <v>1598.8886692232638</v>
      </c>
      <c r="CS65" s="305">
        <f t="shared" si="32"/>
        <v>0</v>
      </c>
      <c r="CV65" s="265" t="s">
        <v>605</v>
      </c>
      <c r="CW65" s="265" t="s">
        <v>609</v>
      </c>
      <c r="CX65" s="267">
        <f>INDEX($M$60:$Z$74,MATCH($CW65,$L$60:$L$74,0),MATCH(CX$61,$M$61:$Z$61,0))/INDEX(고양시_재차인원!$D$4:$H$35,MATCH("고양시",고양시_재차인원!$B$4:$B$35,0),MATCH($CX$60,고양시_재차인원!$D$4:$H$4,0))</f>
        <v>73.581907159596341</v>
      </c>
      <c r="CY65" s="267">
        <f>INDEX($M$60:$Z$74,MATCH($CW65,$L$60:$L$74,0),MATCH(CY$61,$M$61:$Z$61,0))/INDEX(고양시_재차인원!$K$4:$O$20,MATCH("경기도",고양시_재차인원!$K$4:$K$20,0),MATCH($CY$61,고양시_재차인원!$K$4:$O$4,0))</f>
        <v>6.086567169311637E-4</v>
      </c>
      <c r="CZ65" s="267">
        <f>INDEX($M$60:$Z$74,MATCH($CW65,$L$60:$L$74,0),MATCH(CZ$61,$M$61:$Z$61,0))/INDEX(고양시_재차인원!$K$4:$O$20,MATCH("경기도",고양시_재차인원!$K$4:$K$20,0),MATCH($CZ$61,고양시_재차인원!$K$4:$O$4,0))</f>
        <v>0.16920656730686351</v>
      </c>
      <c r="DA65" s="267">
        <f>INDEX($M$60:$Z$74,MATCH($CW65,$L$60:$L$74,0),MATCH(DA$61,$M$61:$Z$61,0))/INDEX(고양시_재차인원!$D$4:$H$35,MATCH("고양시",고양시_재차인원!$B$4:$B$35,0),MATCH($CX$60,고양시_재차인원!$D$4:$H$4,0))</f>
        <v>4.7250129624065691</v>
      </c>
      <c r="DB65" s="267">
        <f>INDEX($AA$60:$AN$74,MATCH($CW65,$L$60:$L$74,0),MATCH(DB$61,$AA$61:$AN$61,0))/INDEX(고양시_재차인원!$D$4:$H$35,MATCH("고양시",고양시_재차인원!$B$4:$B$35,0),MATCH($DB$60,고양시_재차인원!$D$4:$H$4,0))</f>
        <v>454.49975122346336</v>
      </c>
      <c r="DC65" s="267">
        <f>INDEX($AA$60:$AN$74,MATCH($CW65,$L$60:$L$74,0),MATCH(DC$61,$AA$61:$AN$61,0))/INDEX(고양시_재차인원!$K$4:$O$20,MATCH("경기도",고양시_재차인원!$K$4:$K$20,0),MATCH($DC$61,고양시_재차인원!$K$4:$O$4,0))</f>
        <v>4.7329957977284782E-3</v>
      </c>
      <c r="DD65" s="267">
        <f>INDEX($AA$60:$AN$74,MATCH($CW65,$L$60:$L$74,0),MATCH(DD$61,$AA$61:$AN$61,0))/INDEX(고양시_재차인원!$K$4:$O$20,MATCH("경기도",고양시_재차인원!$K$4:$K$20,0),MATCH($DD$61,고양시_재차인원!$K$4:$O$4,0))</f>
        <v>1.3157728317685167</v>
      </c>
      <c r="DE65" s="267">
        <f>INDEX($AA$60:$AN$74,MATCH($CW65,$L$60:$L$74,0),MATCH(DE$61,$AA$61:$AN$61,0))/INDEX(고양시_재차인원!$D$4:$H$35,MATCH("고양시",고양시_재차인원!$B$4:$B$35,0),MATCH($DB$60,고양시_재차인원!$D$4:$H$4,0))</f>
        <v>29.185397590790117</v>
      </c>
      <c r="DF65" s="267">
        <f>INDEX($AO$60:$BB$74,MATCH($CW65,$L$60:$L$74,0),MATCH(DF$61,$AO$61:$BB$61,0))/INDEX(고양시_재차인원!$D$4:$H$35,MATCH("고양시",고양시_재차인원!$B$4:$B$35,0),MATCH($DF$60,고양시_재차인원!$D$4:$H$4,0))</f>
        <v>21.850511814862138</v>
      </c>
      <c r="DG65" s="267">
        <f>INDEX($AO$60:$BB$74,MATCH($CW65,$L$60:$L$74,0),MATCH(DG$61,$AO$61:$BB$61,0))/INDEX(고양시_재차인원!$K$4:$O$20,MATCH("경기도",고양시_재차인원!$K$4:$K$20,0),MATCH($DG$61,고양시_재차인원!$K$4:$O$4,0))</f>
        <v>2.0979170995641101E-4</v>
      </c>
      <c r="DH65" s="267">
        <f>INDEX($AO$60:$BB$74,MATCH($CW65,$L$60:$L$74,0),MATCH(DH$61,$AO$61:$BB$61,0))/INDEX(고양시_재차인원!$K$4:$O$20,MATCH("경기도",고양시_재차인원!$K$4:$K$20,0),MATCH($DH$61,고양시_재차인원!$K$4:$O$4,0))</f>
        <v>5.832209536788225E-2</v>
      </c>
      <c r="DI65" s="267">
        <f>INDEX($AO$60:$BB$74,MATCH($CW65,$L$60:$L$74,0),MATCH(DI$61,$AO$61:$BB$61,0))/INDEX(고양시_재차인원!$D$4:$H$35,MATCH("고양시",고양시_재차인원!$B$4:$B$35,0),MATCH($DF$60,고양시_재차인원!$D$4:$H$4,0))</f>
        <v>1.4031160042713937</v>
      </c>
      <c r="DJ65" s="267">
        <f>INDEX($BC$60:$BP$74,MATCH($CW65,$L$60:$L$74,0),MATCH(DJ$61,$BC$61:$BP$61,0))/INDEX(고양시_재차인원!$D$4:$H$35,MATCH("고양시",고양시_재차인원!$B$4:$B$35,0),MATCH($DJ$60,고양시_재차인원!$D$4:$H$4,0))</f>
        <v>5.6641406499143905E-2</v>
      </c>
      <c r="DK65" s="267">
        <f>INDEX($BC$60:$BP$74,MATCH($CW65,$L$60:$L$74,0),MATCH(DK$61,$BC$61:$BP$61,0))/INDEX(고양시_재차인원!$K$4:$O$20,MATCH("경기도",고양시_재차인원!$K$4:$K$20,0),MATCH($DK$61,고양시_재차인원!$K$4:$O$4,0))</f>
        <v>5.6892667106823109E-7</v>
      </c>
      <c r="DL65" s="267">
        <f>INDEX($BC$60:$BP$74,MATCH($CW65,$L$60:$L$74,0),MATCH(DL$61,$BC$61:$BP$61,0))/INDEX(고양시_재차인원!$K$4:$O$20,MATCH("경기도",고양시_재차인원!$K$4:$K$20,0),MATCH($DL$61,고양시_재차인원!$K$4:$O$4,0))</f>
        <v>1.5816161455696823E-4</v>
      </c>
      <c r="DM65" s="267">
        <f>INDEX($BC$60:$BP$74,MATCH($CW65,$L$60:$L$74,0),MATCH(DM$61,$BC$61:$BP$61,0))/INDEX(고양시_재차인원!$D$4:$H$35,MATCH("고양시",고양시_재차인원!$B$4:$B$35,0),MATCH($DJ$60,고양시_재차인원!$D$4:$H$4,0))</f>
        <v>3.6371900409826624E-3</v>
      </c>
      <c r="DN65" s="267">
        <f>INDEX($BQ$60:$CD$74,MATCH($CW65,$L$60:$L$74,0),MATCH(DN$61,$BQ$61:$CD$61,0))/INDEX(고양시_재차인원!$D$4:$H$35,MATCH("고양시",고양시_재차인원!$B$4:$B$35,0),MATCH($DN$60,고양시_재차인원!$D$4:$H$4,0))</f>
        <v>0.1732208092936787</v>
      </c>
      <c r="DO65" s="267">
        <f>INDEX($BQ$60:$CD$74,MATCH($CW65,$L$60:$L$74,0),MATCH(DO$61,$BQ$61:$CD$61,0))/INDEX(고양시_재차인원!$K$4:$O$20,MATCH("경기도",고양시_재차인원!$K$4:$K$20,0),MATCH($DO$61,고양시_재차인원!$K$4:$O$4,0))</f>
        <v>1.6119589013599929E-6</v>
      </c>
      <c r="DP65" s="267">
        <f>INDEX($BQ$60:$CD$74,MATCH($CW65,$L$60:$L$74,0),MATCH(DP$61,$BQ$61:$CD$61,0))/INDEX(고양시_재차인원!$K$4:$O$20,MATCH("경기도",고양시_재차인원!$K$4:$K$20,0),MATCH($DP$61,고양시_재차인원!$K$4:$O$4,0))</f>
        <v>4.4812457457807804E-4</v>
      </c>
      <c r="DQ65" s="267">
        <f>INDEX($BQ$60:$CD$74,MATCH($CW65,$L$60:$L$74,0),MATCH(DQ$61,$BQ$61:$CD$61,0))/INDEX(고양시_재차인원!$D$4:$H$35,MATCH("고양시",고양시_재차인원!$B$4:$B$35,0),MATCH($DN$60,고양시_재차인원!$D$4:$H$4,0))</f>
        <v>1.112325843221156E-2</v>
      </c>
      <c r="DR65" s="270">
        <f t="shared" si="33"/>
        <v>550.16203241371454</v>
      </c>
      <c r="DS65" s="270">
        <f t="shared" si="26"/>
        <v>5.5536251101884811E-3</v>
      </c>
      <c r="DT65" s="270">
        <f t="shared" si="27"/>
        <v>1.5439077806323973</v>
      </c>
      <c r="DU65" s="270">
        <f t="shared" si="28"/>
        <v>35.328287005941277</v>
      </c>
      <c r="DW65" s="278" t="s">
        <v>605</v>
      </c>
      <c r="DX65" s="278" t="s">
        <v>609</v>
      </c>
      <c r="DY65" s="281">
        <f t="shared" si="34"/>
        <v>585.49031941965586</v>
      </c>
      <c r="DZ65" s="281">
        <f t="shared" si="35"/>
        <v>1.5494614057425857</v>
      </c>
      <c r="EB65" s="278" t="s">
        <v>622</v>
      </c>
      <c r="EC65" s="278" t="s">
        <v>609</v>
      </c>
      <c r="ED65" s="309">
        <f t="shared" si="36"/>
        <v>687.55045345301721</v>
      </c>
      <c r="EE65" s="309">
        <f t="shared" si="29"/>
        <v>1.8195568001572315</v>
      </c>
      <c r="EK65" s="420" t="s">
        <v>622</v>
      </c>
      <c r="EL65" s="420" t="s">
        <v>619</v>
      </c>
      <c r="EM65" s="420" t="s">
        <v>76</v>
      </c>
      <c r="EN65" s="420">
        <v>38408.5</v>
      </c>
      <c r="EO65" s="420">
        <v>1</v>
      </c>
      <c r="EP65" s="421">
        <v>849004</v>
      </c>
      <c r="EQ65" s="422">
        <f t="shared" si="37"/>
        <v>799.35006386113389</v>
      </c>
      <c r="ER65" s="422">
        <f t="shared" si="38"/>
        <v>2.1154270746241783</v>
      </c>
      <c r="ES65">
        <v>0</v>
      </c>
      <c r="EU65" s="306" t="s">
        <v>622</v>
      </c>
      <c r="EV65" s="306" t="s">
        <v>199</v>
      </c>
      <c r="EW65" s="306" t="s">
        <v>76</v>
      </c>
      <c r="EX65" s="306">
        <v>38408.5</v>
      </c>
      <c r="EY65" s="306">
        <v>1</v>
      </c>
      <c r="EZ65" s="307">
        <v>849004</v>
      </c>
      <c r="FA65" s="308">
        <f t="shared" si="39"/>
        <v>799.35006386113389</v>
      </c>
      <c r="FB65" s="308">
        <f t="shared" si="30"/>
        <v>2.1154270746241783</v>
      </c>
      <c r="FD65" s="101"/>
      <c r="FE65" s="101"/>
      <c r="FF65" s="101"/>
      <c r="FG65" s="101"/>
      <c r="FH65" s="101"/>
      <c r="FI65" s="374"/>
      <c r="FJ65" s="404"/>
      <c r="FK65" s="404"/>
    </row>
    <row r="66" spans="1:167">
      <c r="A66" s="205" t="s">
        <v>12</v>
      </c>
      <c r="B66" s="205" t="s">
        <v>12</v>
      </c>
      <c r="C66" s="201">
        <f>$L33*KTDB_TripDistribution_2035!L$12</f>
        <v>21.72722241898747</v>
      </c>
      <c r="D66" s="201">
        <f>$L33*KTDB_TripDistribution_2035!M$12</f>
        <v>168.95377894434677</v>
      </c>
      <c r="E66" s="201">
        <f>$L33*KTDB_TripDistribution_2035!N$12</f>
        <v>7.4889359093332093</v>
      </c>
      <c r="F66" s="201">
        <f>$L33*KTDB_TripDistribution_2035!O$12</f>
        <v>2.0308978737174726E-2</v>
      </c>
      <c r="G66" s="201">
        <f>$L33*KTDB_TripDistribution_2035!P$12</f>
        <v>5.7542106421995233E-2</v>
      </c>
      <c r="H66" s="201">
        <f>$L33*KTDB_TripDistribution_2035!Q$12</f>
        <v>198.24778835782661</v>
      </c>
      <c r="J66" s="230">
        <f t="shared" si="12"/>
        <v>198.24778835782666</v>
      </c>
      <c r="K66" s="206" t="s">
        <v>12</v>
      </c>
      <c r="L66" s="206" t="s">
        <v>12</v>
      </c>
      <c r="M66" s="206">
        <f>INDEX($A$61:$H$74,MATCH($L66,$B$61:$B$74,0),MATCH($M$60,$A$61:$H$61,0))*고양시_Modal_split!C$3 * 0.01</f>
        <v>6.0836222773164909E-2</v>
      </c>
      <c r="N66" s="206">
        <f>INDEX($A$61:$H$74,MATCH($L66,$B$61:$B$74,0),MATCH($M$60,$A$61:$H$61,0))*고양시_Modal_split!D$3 * 0.01</f>
        <v>10.218312703649808</v>
      </c>
      <c r="O66" s="206">
        <f>INDEX($A$61:$H$74,MATCH($L66,$B$61:$B$74,0),MATCH($M$60,$A$61:$H$61,0))*고양시_Modal_split!E$3 * 0.01</f>
        <v>1.236278955640387</v>
      </c>
      <c r="P66" s="206">
        <f>INDEX($A$61:$H$74,MATCH($L66,$B$61:$B$74,0),MATCH($M$60,$A$61:$H$61,0))*고양시_Modal_split!F$3 * 0.01</f>
        <v>1.9923862958211509</v>
      </c>
      <c r="Q66" s="206">
        <f>INDEX($A$61:$H$74,MATCH($L66,$B$61:$B$74,0),MATCH($M$60,$A$61:$H$61,0))*고양시_Modal_split!G$3 * 0.01</f>
        <v>0.19989044625468469</v>
      </c>
      <c r="R66" s="206">
        <f>INDEX($A$61:$H$74,MATCH($L66,$B$61:$B$74,0),MATCH($M$60,$A$61:$H$61,0))*고양시_Modal_split!H$3 * 0.01</f>
        <v>2.1727222418987473E-3</v>
      </c>
      <c r="S66" s="206">
        <f>INDEX($A$61:$H$74,MATCH($L66,$B$61:$B$74,0),MATCH($M$60,$A$61:$H$61,0))*고양시_Modal_split!I$3 * 0.01</f>
        <v>0.60401678324785157</v>
      </c>
      <c r="T66" s="206">
        <f>INDEX($A$61:$H$74,MATCH($L66,$B$61:$B$74,0),MATCH($M$60,$A$61:$H$61,0))*고양시_Modal_split!J$3 * 0.01</f>
        <v>6.613766504339786</v>
      </c>
      <c r="U66" s="206">
        <f>INDEX($A$61:$H$74,MATCH($L66,$B$61:$B$74,0),MATCH($M$60,$A$61:$H$61,0))*고양시_Modal_split!K$3 * 0.01</f>
        <v>3.2590833628481204E-2</v>
      </c>
      <c r="V66" s="206">
        <f>INDEX($A$61:$H$74,MATCH($L66,$B$61:$B$74,0),MATCH($M$60,$A$61:$H$61,0))*고양시_Modal_split!L$3 * 0.01</f>
        <v>0.65616211705342153</v>
      </c>
      <c r="W66" s="206">
        <f>INDEX($A$61:$H$74,MATCH($L66,$B$61:$B$74,0),MATCH($M$60,$A$61:$H$61,0))*고양시_Modal_split!M$3 * 0.01</f>
        <v>4.9972611563671172E-2</v>
      </c>
      <c r="X66" s="206">
        <f>INDEX($A$61:$H$74,MATCH($L66,$B$61:$B$74,0),MATCH($M$60,$A$61:$H$61,0))*고양시_Modal_split!N$3 * 0.01</f>
        <v>2.1727222418987471E-2</v>
      </c>
      <c r="Y66" s="206">
        <f>INDEX($A$61:$H$74,MATCH($L66,$B$61:$B$74,0),MATCH($M$60,$A$61:$H$61,0))*고양시_Modal_split!O$3 * 0.01</f>
        <v>3.9109000354177449E-2</v>
      </c>
      <c r="Z66" s="209">
        <f>INDEX($A$61:$H$74,MATCH($L66,$B$61:$B$74,0),MATCH($M$60,$A$61:$H$61,0))*고양시_Modal_split!P$3 * 0.01</f>
        <v>21.727222418987473</v>
      </c>
      <c r="AA66" s="207">
        <f>INDEX($A$61:$H$74,MATCH($L66,$B$61:$B$74,0),MATCH($AA$60,$A$61:$H$61,0))*고양시_Modal_split!C$3 * 0.01</f>
        <v>0.47307058104417088</v>
      </c>
      <c r="AB66" s="207">
        <f>INDEX($A$61:$H$74,MATCH($L66,$B$61:$B$74,0),MATCH($AA$60,$A$61:$H$61,0))*고양시_Modal_split!D$3 * 0.01</f>
        <v>79.458962237526279</v>
      </c>
      <c r="AC66" s="207">
        <f>INDEX($A$61:$H$74,MATCH($L66,$B$61:$B$74,0),MATCH($AA$60,$A$61:$H$61,0))*고양시_Modal_split!E$3 * 0.01</f>
        <v>9.6134700219333293</v>
      </c>
      <c r="AD66" s="207">
        <f>INDEX($A$61:$H$74,MATCH($L66,$B$61:$B$74,0),MATCH($AA$60,$A$61:$H$61,0))*고양시_Modal_split!F$3 * 0.01</f>
        <v>15.493061529196599</v>
      </c>
      <c r="AE66" s="207">
        <f>INDEX($A$61:$H$74,MATCH($L66,$B$61:$B$74,0),MATCH($AA$60,$A$61:$H$61,0))*고양시_Modal_split!G$3 * 0.01</f>
        <v>1.5543747662879901</v>
      </c>
      <c r="AF66" s="207">
        <f>INDEX($A$61:$H$74,MATCH($L66,$B$61:$B$74,0),MATCH($AA$60,$A$61:$H$61,0))*고양시_Modal_split!H$3 * 0.01</f>
        <v>1.6895377894434679E-2</v>
      </c>
      <c r="AG66" s="207">
        <f>INDEX($A$61:$H$74,MATCH($L66,$B$61:$B$74,0),MATCH($AA$60,$A$61:$H$61,0))*고양시_Modal_split!I$3 * 0.01</f>
        <v>4.6969150546528402</v>
      </c>
      <c r="AH66" s="207">
        <f>INDEX($A$61:$H$74,MATCH($L66,$B$61:$B$74,0),MATCH($AA$60,$A$61:$H$61,0))*고양시_Modal_split!J$3 * 0.01</f>
        <v>51.42953031065916</v>
      </c>
      <c r="AI66" s="207">
        <f>INDEX($A$61:$H$74,MATCH($L66,$B$61:$B$74,0),MATCH($AA$60,$A$61:$H$61,0))*고양시_Modal_split!K$3 * 0.01</f>
        <v>0.25343066841652012</v>
      </c>
      <c r="AJ66" s="207">
        <f>INDEX($A$61:$H$74,MATCH($L66,$B$61:$B$74,0),MATCH($AA$60,$A$61:$H$61,0))*고양시_Modal_split!L$3 * 0.01</f>
        <v>5.102404124119273</v>
      </c>
      <c r="AK66" s="207">
        <f>INDEX($A$61:$H$74,MATCH($L66,$B$61:$B$74,0),MATCH($AA$60,$A$61:$H$61,0))*고양시_Modal_split!M$3 * 0.01</f>
        <v>0.38859369157199752</v>
      </c>
      <c r="AL66" s="207">
        <f>INDEX($A$61:$H$74,MATCH($L66,$B$61:$B$74,0),MATCH($AA$60,$A$61:$H$61,0))*고양시_Modal_split!N$3 * 0.01</f>
        <v>0.16895377894434677</v>
      </c>
      <c r="AM66" s="207">
        <f>INDEX($A$61:$H$74,MATCH($L66,$B$61:$B$74,0),MATCH($AA$60,$A$61:$H$61,0))*고양시_Modal_split!O$3 * 0.01</f>
        <v>0.30411680209982417</v>
      </c>
      <c r="AN66" s="207">
        <f>INDEX($A$61:$H$74,MATCH($L66,$B$61:$B$74,0),MATCH($AA$60,$A$61:$H$61,0))*고양시_Modal_split!P$3 * 0.01</f>
        <v>168.95377894434679</v>
      </c>
      <c r="AO66" s="303">
        <f>INDEX($A$61:$H$74,MATCH($L66,$B$61:$B$74,0),MATCH($AO$60,$A$61:$H$61,0))*고양시_Modal_split!C$3 * 0.01</f>
        <v>2.0969020546132984E-2</v>
      </c>
      <c r="AP66" s="303">
        <f>INDEX($A$61:$H$74,MATCH($L66,$B$61:$B$74,0),MATCH($AO$60,$A$61:$H$61,0))*고양시_Modal_split!D$3 * 0.01</f>
        <v>3.5220465581594085</v>
      </c>
      <c r="AQ66" s="303">
        <f>INDEX($A$61:$H$74,MATCH($L66,$B$61:$B$74,0),MATCH($AO$60,$A$61:$H$61,0))*고양시_Modal_split!E$3 * 0.01</f>
        <v>0.42612045324105957</v>
      </c>
      <c r="AR66" s="303">
        <f>INDEX($A$61:$H$74,MATCH($L66,$B$61:$B$74,0),MATCH($AO$60,$A$61:$H$61,0))*고양시_Modal_split!F$3 * 0.01</f>
        <v>0.68673542288585521</v>
      </c>
      <c r="AS66" s="303">
        <f>INDEX($A$61:$H$74,MATCH($L66,$B$61:$B$74,0),MATCH($AO$60,$A$61:$H$61,0))*고양시_Modal_split!G$3 * 0.01</f>
        <v>6.889821036586552E-2</v>
      </c>
      <c r="AT66" s="303">
        <f>INDEX($A$61:$H$74,MATCH($L66,$B$61:$B$74,0),MATCH($AO$60,$A$61:$H$61,0))*고양시_Modal_split!H$3 * 0.01</f>
        <v>7.4889359093332098E-4</v>
      </c>
      <c r="AU66" s="303">
        <f>INDEX($A$61:$H$74,MATCH($L66,$B$61:$B$74,0),MATCH($AO$60,$A$61:$H$61,0))*고양시_Modal_split!I$3 * 0.01</f>
        <v>0.20819241827946322</v>
      </c>
      <c r="AV66" s="303">
        <f>INDEX($A$61:$H$74,MATCH($L66,$B$61:$B$74,0),MATCH($AO$60,$A$61:$H$61,0))*고양시_Modal_split!J$3 * 0.01</f>
        <v>2.2796320908010292</v>
      </c>
      <c r="AW66" s="303">
        <f>INDEX($A$61:$H$74,MATCH($L66,$B$61:$B$74,0),MATCH($AO$60,$A$61:$H$61,0))*고양시_Modal_split!K$3 * 0.01</f>
        <v>1.1233403863999814E-2</v>
      </c>
      <c r="AX66" s="303">
        <f>INDEX($A$61:$H$74,MATCH($L66,$B$61:$B$74,0),MATCH($AO$60,$A$61:$H$61,0))*고양시_Modal_split!L$3 * 0.01</f>
        <v>0.22616586446186293</v>
      </c>
      <c r="AY66" s="303">
        <f>INDEX($A$61:$H$74,MATCH($L66,$B$61:$B$74,0),MATCH($AO$60,$A$61:$H$61,0))*고양시_Modal_split!M$3 * 0.01</f>
        <v>1.722455259146638E-2</v>
      </c>
      <c r="AZ66" s="303">
        <f>INDEX($A$61:$H$74,MATCH($L66,$B$61:$B$74,0),MATCH($AO$60,$A$61:$H$61,0))*고양시_Modal_split!N$3 * 0.01</f>
        <v>7.4889359093332098E-3</v>
      </c>
      <c r="BA66" s="207">
        <f>INDEX($A$61:$H$74,MATCH($L66,$B$61:$B$74,0),MATCH($AO$60,$A$61:$H$61,0))*고양시_Modal_split!O$3 * 0.01</f>
        <v>1.3480084636799776E-2</v>
      </c>
      <c r="BB66" s="207">
        <f>INDEX($A$61:$H$74,MATCH($L66,$B$61:$B$74,0),MATCH($AO$60,$A$61:$H$61,0))*고양시_Modal_split!P$3 * 0.01</f>
        <v>7.4889359093332102</v>
      </c>
      <c r="BC66" s="207">
        <f>INDEX($A$61:$H$74,MATCH($L66,$B$61:$B$74,0),MATCH($BC$60,$A$61:$H$61,0))*고양시_Modal_split!C$3 * 0.01</f>
        <v>5.6865140464089231E-5</v>
      </c>
      <c r="BD66" s="207">
        <f>INDEX($A$61:$H$74,MATCH($L66,$B$61:$B$74,0),MATCH($BC$60,$A$61:$H$61,0))*고양시_Modal_split!D$3 * 0.01</f>
        <v>9.5513127000932743E-3</v>
      </c>
      <c r="BE66" s="207">
        <f>INDEX($A$61:$H$74,MATCH($L66,$B$61:$B$74,0),MATCH($BC$60,$A$61:$H$61,0))*고양시_Modal_split!E$3 * 0.01</f>
        <v>1.1555808901452418E-3</v>
      </c>
      <c r="BF66" s="207">
        <f>INDEX($A$61:$H$74,MATCH($L66,$B$61:$B$74,0),MATCH($BC$60,$A$61:$H$61,0))*고양시_Modal_split!F$3 * 0.01</f>
        <v>1.8623333501989222E-3</v>
      </c>
      <c r="BG66" s="207">
        <f>INDEX($A$61:$H$74,MATCH($L66,$B$61:$B$74,0),MATCH($BC$60,$A$61:$H$61,0))*고양시_Modal_split!G$3 * 0.01</f>
        <v>1.8684260438200749E-4</v>
      </c>
      <c r="BH66" s="207">
        <f>INDEX($A$61:$H$74,MATCH($L66,$B$61:$B$74,0),MATCH($BC$60,$A$61:$H$61,0))*고양시_Modal_split!H$3 * 0.01</f>
        <v>2.0308978737174726E-6</v>
      </c>
      <c r="BI66" s="207">
        <f>INDEX($A$61:$H$74,MATCH($L66,$B$61:$B$74,0),MATCH($BC$60,$A$61:$H$61,0))*고양시_Modal_split!I$3 * 0.01</f>
        <v>5.6458960889345735E-4</v>
      </c>
      <c r="BJ66" s="207">
        <f>INDEX($A$61:$H$74,MATCH($L66,$B$61:$B$74,0),MATCH($BC$60,$A$61:$H$61,0))*고양시_Modal_split!J$3 * 0.01</f>
        <v>6.1820531275959866E-3</v>
      </c>
      <c r="BK66" s="207">
        <f>INDEX($A$61:$H$74,MATCH($L66,$B$61:$B$74,0),MATCH($BC$60,$A$61:$H$61,0))*고양시_Modal_split!K$3 * 0.01</f>
        <v>3.0463468105762089E-5</v>
      </c>
      <c r="BL66" s="207">
        <f>INDEX($A$61:$H$74,MATCH($L66,$B$61:$B$74,0),MATCH($BC$60,$A$61:$H$61,0))*고양시_Modal_split!L$3 * 0.01</f>
        <v>6.1333115786267676E-4</v>
      </c>
      <c r="BM66" s="207">
        <f>INDEX($A$61:$H$74,MATCH($L66,$B$61:$B$74,0),MATCH($BC$60,$A$61:$H$61,0))*고양시_Modal_split!M$3 * 0.01</f>
        <v>4.6710651095501873E-5</v>
      </c>
      <c r="BN66" s="207">
        <f>INDEX($A$61:$H$74,MATCH($L66,$B$61:$B$74,0),MATCH($BC$60,$A$61:$H$61,0))*고양시_Modal_split!N$3 * 0.01</f>
        <v>2.0308978737174727E-5</v>
      </c>
      <c r="BO66" s="207">
        <f>INDEX($A$61:$H$74,MATCH($L66,$B$61:$B$74,0),MATCH($BC$60,$A$61:$H$61,0))*고양시_Modal_split!O$3 * 0.01</f>
        <v>3.6556161726914508E-5</v>
      </c>
      <c r="BP66" s="207">
        <f>INDEX($A$61:$H$74,MATCH($L66,$B$61:$B$74,0),MATCH($BC$60,$A$61:$H$61,0))*고양시_Modal_split!P$3 * 0.01</f>
        <v>2.0308978737174726E-2</v>
      </c>
      <c r="BQ66" s="207">
        <f>INDEX($A$61:$H$74,MATCH($L66,$B$61:$B$74,0),MATCH($BQ$60,$A$61:$H$61,0))*고양시_Modal_split!C$3 * 0.01</f>
        <v>1.6111789798158661E-4</v>
      </c>
      <c r="BR66" s="207">
        <f>INDEX($A$61:$H$74,MATCH($L66,$B$61:$B$74,0),MATCH($BQ$60,$A$61:$H$61,0))*고양시_Modal_split!D$3 * 0.01</f>
        <v>2.7062052650264356E-2</v>
      </c>
      <c r="BS66" s="207">
        <f>INDEX($A$61:$H$74,MATCH($L66,$B$61:$B$74,0),MATCH($BQ$60,$A$61:$H$61,0))*고양시_Modal_split!E$3 * 0.01</f>
        <v>3.2741458554115285E-3</v>
      </c>
      <c r="BT66" s="207">
        <f>INDEX($A$61:$H$74,MATCH($L66,$B$61:$B$74,0),MATCH($BQ$60,$A$61:$H$61,0))*고양시_Modal_split!F$3 * 0.01</f>
        <v>5.2766111588969638E-3</v>
      </c>
      <c r="BU66" s="207">
        <f>INDEX($A$61:$H$74,MATCH($L66,$B$61:$B$74,0),MATCH($BQ$60,$A$61:$H$61,0))*고양시_Modal_split!G$3 * 0.01</f>
        <v>5.2938737908235609E-4</v>
      </c>
      <c r="BV66" s="207">
        <f>INDEX($A$61:$H$74,MATCH($L66,$B$61:$B$74,0),MATCH($BQ$60,$A$61:$H$61,0))*고양시_Modal_split!H$3 * 0.01</f>
        <v>5.7542106421995239E-6</v>
      </c>
      <c r="BW66" s="207">
        <f>INDEX($A$61:$H$74,MATCH($L66,$B$61:$B$74,0),MATCH($BQ$60,$A$61:$H$61,0))*고양시_Modal_split!I$3 * 0.01</f>
        <v>1.5996705585314675E-3</v>
      </c>
      <c r="BX66" s="207">
        <f>INDEX($A$61:$H$74,MATCH($L66,$B$61:$B$74,0),MATCH($BQ$60,$A$61:$H$61,0))*고양시_Modal_split!J$3 * 0.01</f>
        <v>1.751581719485535E-2</v>
      </c>
      <c r="BY66" s="207">
        <f>INDEX($A$61:$H$74,MATCH($L66,$B$61:$B$74,0),MATCH($BQ$60,$A$61:$H$61,0))*고양시_Modal_split!K$3 * 0.01</f>
        <v>8.6313159632992844E-5</v>
      </c>
      <c r="BZ66" s="207">
        <f>INDEX($A$61:$H$74,MATCH($L66,$B$61:$B$74,0),MATCH($BQ$60,$A$61:$H$61,0))*고양시_Modal_split!L$3 * 0.01</f>
        <v>1.7377716139442563E-3</v>
      </c>
      <c r="CA66" s="207">
        <f>INDEX($A$61:$H$74,MATCH($L66,$B$61:$B$74,0),MATCH($BQ$60,$A$61:$H$61,0))*고양시_Modal_split!M$3 * 0.01</f>
        <v>1.3234684477058902E-4</v>
      </c>
      <c r="CB66" s="207">
        <f>INDEX($A$61:$H$74,MATCH($L66,$B$61:$B$74,0),MATCH($BQ$60,$A$61:$H$61,0))*고양시_Modal_split!N$3 * 0.01</f>
        <v>5.7542106421995239E-5</v>
      </c>
      <c r="CC66" s="207">
        <f>INDEX($A$61:$H$74,MATCH($L66,$B$61:$B$74,0),MATCH($BQ$60,$A$61:$H$61,0))*고양시_Modal_split!O$3 * 0.01</f>
        <v>1.0357579155959142E-4</v>
      </c>
      <c r="CD66" s="207">
        <f>INDEX($A$61:$H$74,MATCH($L66,$B$61:$B$74,0),MATCH($BQ$60,$A$61:$H$61,0))*고양시_Modal_split!P$3 * 0.01</f>
        <v>5.7542106421995233E-2</v>
      </c>
      <c r="CE66" s="304">
        <f t="shared" si="31"/>
        <v>0.5550938074019145</v>
      </c>
      <c r="CF66" s="304">
        <f t="shared" si="13"/>
        <v>93.235934864685845</v>
      </c>
      <c r="CG66" s="304">
        <f t="shared" si="14"/>
        <v>11.280299157560334</v>
      </c>
      <c r="CH66" s="304">
        <f t="shared" si="15"/>
        <v>18.179322192412705</v>
      </c>
      <c r="CI66" s="304">
        <f t="shared" si="16"/>
        <v>1.8238796528920047</v>
      </c>
      <c r="CJ66" s="304">
        <f t="shared" si="17"/>
        <v>1.982477883578266E-2</v>
      </c>
      <c r="CK66" s="304">
        <f t="shared" si="18"/>
        <v>5.5112885163475784</v>
      </c>
      <c r="CL66" s="304">
        <f t="shared" si="19"/>
        <v>60.346626776122427</v>
      </c>
      <c r="CM66" s="304">
        <f t="shared" si="20"/>
        <v>0.29737168253673985</v>
      </c>
      <c r="CN66" s="304">
        <f t="shared" si="21"/>
        <v>5.9870832084063643</v>
      </c>
      <c r="CO66" s="304">
        <f t="shared" si="22"/>
        <v>0.45596991322300118</v>
      </c>
      <c r="CP66" s="304">
        <f t="shared" si="23"/>
        <v>0.19824778835782664</v>
      </c>
      <c r="CQ66" s="304">
        <f t="shared" si="24"/>
        <v>0.35684601904408797</v>
      </c>
      <c r="CR66" s="304">
        <f t="shared" si="25"/>
        <v>198.24778835782666</v>
      </c>
      <c r="CS66" s="305">
        <f t="shared" si="32"/>
        <v>0</v>
      </c>
      <c r="CV66" s="265" t="s">
        <v>12</v>
      </c>
      <c r="CW66" s="265" t="s">
        <v>12</v>
      </c>
      <c r="CX66" s="267">
        <f>INDEX($M$60:$Z$74,MATCH($CW66,$L$60:$L$74,0),MATCH(CX$61,$M$61:$Z$61,0))/INDEX(고양시_재차인원!$D$4:$H$35,MATCH("고양시",고양시_재차인원!$B$4:$B$35,0),MATCH($CX$60,고양시_재차인원!$D$4:$H$4,0))</f>
        <v>9.1234934854016139</v>
      </c>
      <c r="CY66" s="267">
        <f>INDEX($M$60:$Z$74,MATCH($CW66,$L$60:$L$74,0),MATCH(CY$61,$M$61:$Z$61,0))/INDEX(고양시_재차인원!$K$4:$O$20,MATCH("경기도",고양시_재차인원!$K$4:$K$20,0),MATCH($CY$61,고양시_재차인원!$K$4:$O$4,0))</f>
        <v>7.5467948659213184E-5</v>
      </c>
      <c r="CZ66" s="267">
        <f>INDEX($M$60:$Z$74,MATCH($CW66,$L$60:$L$74,0),MATCH(CZ$61,$M$61:$Z$61,0))/INDEX(고양시_재차인원!$K$4:$O$20,MATCH("경기도",고양시_재차인원!$K$4:$K$20,0),MATCH($CZ$61,고양시_재차인원!$K$4:$O$4,0))</f>
        <v>2.0980089727261259E-2</v>
      </c>
      <c r="DA66" s="267">
        <f>INDEX($M$60:$Z$74,MATCH($CW66,$L$60:$L$74,0),MATCH(DA$61,$M$61:$Z$61,0))/INDEX(고양시_재차인원!$D$4:$H$35,MATCH("고양시",고양시_재차인원!$B$4:$B$35,0),MATCH($CX$60,고양시_재차인원!$D$4:$H$4,0))</f>
        <v>0.58585903308341203</v>
      </c>
      <c r="DB66" s="267">
        <f>INDEX($AA$60:$AN$74,MATCH($CW66,$L$60:$L$74,0),MATCH(DB$61,$AA$61:$AN$61,0))/INDEX(고양시_재차인원!$D$4:$H$35,MATCH("고양시",고양시_재차인원!$B$4:$B$35,0),MATCH($DB$60,고양시_재차인원!$D$4:$H$4,0))</f>
        <v>56.353873927323605</v>
      </c>
      <c r="DC66" s="267">
        <f>INDEX($AA$60:$AN$74,MATCH($CW66,$L$60:$L$74,0),MATCH(DC$61,$AA$61:$AN$61,0))/INDEX(고양시_재차인원!$K$4:$O$20,MATCH("경기도",고양시_재차인원!$K$4:$K$20,0),MATCH($DC$61,고양시_재차인원!$K$4:$O$4,0))</f>
        <v>5.8684883273479264E-4</v>
      </c>
      <c r="DD66" s="267">
        <f>INDEX($AA$60:$AN$74,MATCH($CW66,$L$60:$L$74,0),MATCH(DD$61,$AA$61:$AN$61,0))/INDEX(고양시_재차인원!$K$4:$O$20,MATCH("경기도",고양시_재차인원!$K$4:$K$20,0),MATCH($DD$61,고양시_재차인원!$K$4:$O$4,0))</f>
        <v>0.16314397550027232</v>
      </c>
      <c r="DE66" s="267">
        <f>INDEX($AA$60:$AN$74,MATCH($CW66,$L$60:$L$74,0),MATCH(DE$61,$AA$61:$AN$61,0))/INDEX(고양시_재차인원!$D$4:$H$35,MATCH("고양시",고양시_재차인원!$B$4:$B$35,0),MATCH($DB$60,고양시_재차인원!$D$4:$H$4,0))</f>
        <v>3.6187263291626053</v>
      </c>
      <c r="DF66" s="267">
        <f>INDEX($AO$60:$BB$74,MATCH($CW66,$L$60:$L$74,0),MATCH(DF$61,$AO$61:$BB$61,0))/INDEX(고양시_재차인원!$D$4:$H$35,MATCH("고양시",고양시_재차인원!$B$4:$B$35,0),MATCH($DF$60,고양시_재차인원!$D$4:$H$4,0))</f>
        <v>2.7092665831995451</v>
      </c>
      <c r="DG66" s="267">
        <f>INDEX($AO$60:$BB$74,MATCH($CW66,$L$60:$L$74,0),MATCH(DG$61,$AO$61:$BB$61,0))/INDEX(고양시_재차인원!$K$4:$O$20,MATCH("경기도",고양시_재차인원!$K$4:$K$20,0),MATCH($DG$61,고양시_재차인원!$K$4:$O$4,0))</f>
        <v>2.6012281727451234E-5</v>
      </c>
      <c r="DH66" s="267">
        <f>INDEX($AO$60:$BB$74,MATCH($CW66,$L$60:$L$74,0),MATCH(DH$61,$AO$61:$BB$61,0))/INDEX(고양시_재차인원!$K$4:$O$20,MATCH("경기도",고양시_재차인원!$K$4:$K$20,0),MATCH($DH$61,고양시_재차인원!$K$4:$O$4,0))</f>
        <v>7.2314143202314423E-3</v>
      </c>
      <c r="DI66" s="267">
        <f>INDEX($AO$60:$BB$74,MATCH($CW66,$L$60:$L$74,0),MATCH(DI$61,$AO$61:$BB$61,0))/INDEX(고양시_재차인원!$D$4:$H$35,MATCH("고양시",고양시_재차인원!$B$4:$B$35,0),MATCH($DF$60,고양시_재차인원!$D$4:$H$4,0))</f>
        <v>0.17397374189374071</v>
      </c>
      <c r="DJ66" s="267">
        <f>INDEX($BC$60:$BP$74,MATCH($CW66,$L$60:$L$74,0),MATCH(DJ$61,$BC$61:$BP$61,0))/INDEX(고양시_재차인원!$D$4:$H$35,MATCH("고양시",고양시_재차인원!$B$4:$B$35,0),MATCH($DJ$60,고양시_재차인원!$D$4:$H$4,0))</f>
        <v>7.0230240441862303E-3</v>
      </c>
      <c r="DK66" s="267">
        <f>INDEX($BC$60:$BP$74,MATCH($CW66,$L$60:$L$74,0),MATCH(DK$61,$BC$61:$BP$61,0))/INDEX(고양시_재차인원!$K$4:$O$20,MATCH("경기도",고양시_재차인원!$K$4:$K$20,0),MATCH($DK$61,고양시_재차인원!$K$4:$O$4,0))</f>
        <v>7.0541780955799674E-8</v>
      </c>
      <c r="DL66" s="267">
        <f>INDEX($BC$60:$BP$74,MATCH($CW66,$L$60:$L$74,0),MATCH(DL$61,$BC$61:$BP$61,0))/INDEX(고양시_재차인원!$K$4:$O$20,MATCH("경기도",고양시_재차인원!$K$4:$K$20,0),MATCH($DL$61,고양시_재차인원!$K$4:$O$4,0))</f>
        <v>1.961061510571231E-5</v>
      </c>
      <c r="DM66" s="267">
        <f>INDEX($BC$60:$BP$74,MATCH($CW66,$L$60:$L$74,0),MATCH(DM$61,$BC$61:$BP$61,0))/INDEX(고양시_재차인원!$D$4:$H$35,MATCH("고양시",고양시_재차인원!$B$4:$B$35,0),MATCH($DJ$60,고양시_재차인원!$D$4:$H$4,0))</f>
        <v>4.5097879254608582E-4</v>
      </c>
      <c r="DN66" s="267">
        <f>INDEX($BQ$60:$CD$74,MATCH($CW66,$L$60:$L$74,0),MATCH(DN$61,$BQ$61:$CD$61,0))/INDEX(고양시_재차인원!$D$4:$H$35,MATCH("고양시",고양시_재차인원!$B$4:$B$35,0),MATCH($DN$60,고양시_재차인원!$D$4:$H$4,0))</f>
        <v>2.1477819563701869E-2</v>
      </c>
      <c r="DO66" s="267">
        <f>INDEX($BQ$60:$CD$74,MATCH($CW66,$L$60:$L$74,0),MATCH(DO$61,$BQ$61:$CD$61,0))/INDEX(고양시_재차인원!$K$4:$O$20,MATCH("경기도",고양시_재차인원!$K$4:$K$20,0),MATCH($DO$61,고양시_재차인원!$K$4:$O$4,0))</f>
        <v>1.9986837937476639E-7</v>
      </c>
      <c r="DP66" s="267">
        <f>INDEX($BQ$60:$CD$74,MATCH($CW66,$L$60:$L$74,0),MATCH(DP$61,$BQ$61:$CD$61,0))/INDEX(고양시_재차인원!$K$4:$O$20,MATCH("경기도",고양시_재차인원!$K$4:$K$20,0),MATCH($DP$61,고양시_재차인원!$K$4:$O$4,0))</f>
        <v>5.5563409466185049E-5</v>
      </c>
      <c r="DQ66" s="267">
        <f>INDEX($BQ$60:$CD$74,MATCH($CW66,$L$60:$L$74,0),MATCH(DQ$61,$BQ$61:$CD$61,0))/INDEX(고양시_재차인원!$D$4:$H$35,MATCH("고양시",고양시_재차인원!$B$4:$B$35,0),MATCH($DN$60,고양시_재차인원!$D$4:$H$4,0))</f>
        <v>1.3791838205906796E-3</v>
      </c>
      <c r="DR66" s="270">
        <f t="shared" si="33"/>
        <v>68.215134839532652</v>
      </c>
      <c r="DS66" s="270">
        <f t="shared" si="26"/>
        <v>6.885994732817877E-4</v>
      </c>
      <c r="DT66" s="270">
        <f t="shared" si="27"/>
        <v>0.19143065357233693</v>
      </c>
      <c r="DU66" s="270">
        <f t="shared" si="28"/>
        <v>4.3803892667528945</v>
      </c>
      <c r="DW66" s="278" t="s">
        <v>12</v>
      </c>
      <c r="DX66" s="278" t="s">
        <v>12</v>
      </c>
      <c r="DY66" s="281">
        <f t="shared" si="34"/>
        <v>72.595524106285552</v>
      </c>
      <c r="DZ66" s="281">
        <f t="shared" si="35"/>
        <v>0.19211925304561872</v>
      </c>
      <c r="EB66" s="278" t="s">
        <v>12</v>
      </c>
      <c r="EC66" s="278" t="s">
        <v>12</v>
      </c>
      <c r="ED66" s="281">
        <f>DY66</f>
        <v>72.595524106285552</v>
      </c>
      <c r="EE66" s="281">
        <f t="shared" ref="EE66:EE67" si="40">DZ66</f>
        <v>0.19211925304561872</v>
      </c>
      <c r="EK66" s="420" t="s">
        <v>622</v>
      </c>
      <c r="EL66" s="420" t="s">
        <v>620</v>
      </c>
      <c r="EM66" s="420" t="s">
        <v>220</v>
      </c>
      <c r="EN66" s="420">
        <v>31514.0893</v>
      </c>
      <c r="EO66" s="420">
        <v>1</v>
      </c>
      <c r="EP66" s="421">
        <v>849005</v>
      </c>
      <c r="EQ66" s="422">
        <f t="shared" si="37"/>
        <v>655.16088707897609</v>
      </c>
      <c r="ER66" s="422">
        <f t="shared" si="38"/>
        <v>1.7338399550092882</v>
      </c>
      <c r="ES66">
        <v>0</v>
      </c>
      <c r="EU66" s="306" t="s">
        <v>622</v>
      </c>
      <c r="EV66" s="306" t="s">
        <v>200</v>
      </c>
      <c r="EW66" s="306" t="s">
        <v>220</v>
      </c>
      <c r="EX66" s="306">
        <v>31514.0893</v>
      </c>
      <c r="EY66" s="306">
        <v>1</v>
      </c>
      <c r="EZ66" s="307">
        <v>849005</v>
      </c>
      <c r="FA66" s="308">
        <f t="shared" si="39"/>
        <v>655.16088707897609</v>
      </c>
      <c r="FB66" s="308">
        <f t="shared" si="30"/>
        <v>1.7338399550092882</v>
      </c>
      <c r="FD66" s="101"/>
      <c r="FE66" s="101"/>
      <c r="FF66" s="101"/>
      <c r="FG66" s="101"/>
      <c r="FH66" s="101"/>
      <c r="FI66" s="374"/>
      <c r="FJ66" s="404"/>
      <c r="FK66" s="404"/>
    </row>
    <row r="67" spans="1:167" ht="25">
      <c r="A67" s="205" t="s">
        <v>13</v>
      </c>
      <c r="B67" s="205" t="s">
        <v>13</v>
      </c>
      <c r="C67" s="201">
        <f>$L34*KTDB_TripDistribution_2035!L$12</f>
        <v>32.293188145005189</v>
      </c>
      <c r="D67" s="201">
        <f>$L34*KTDB_TripDistribution_2035!M$12</f>
        <v>251.11613744476355</v>
      </c>
      <c r="E67" s="201">
        <f>$L34*KTDB_TripDistribution_2035!N$12</f>
        <v>11.130811461415192</v>
      </c>
      <c r="F67" s="201">
        <f>$L34*KTDB_TripDistribution_2035!O$12</f>
        <v>3.0185251420786843E-2</v>
      </c>
      <c r="G67" s="201">
        <f>$L34*KTDB_TripDistribution_2035!P$12</f>
        <v>8.552487902556298E-2</v>
      </c>
      <c r="H67" s="201">
        <f>$L34*KTDB_TripDistribution_2035!Q$12</f>
        <v>294.65584718163029</v>
      </c>
      <c r="K67" s="206" t="s">
        <v>13</v>
      </c>
      <c r="L67" s="206" t="s">
        <v>13</v>
      </c>
      <c r="M67" s="206">
        <f>INDEX($A$61:$H$74,MATCH($L67,$B$61:$B$74,0),MATCH($M$60,$A$61:$H$61,0))*고양시_Modal_split!C$3 * 0.01</f>
        <v>9.0420926806014532E-2</v>
      </c>
      <c r="N67" s="206">
        <f>INDEX($A$61:$H$74,MATCH($L67,$B$61:$B$74,0),MATCH($M$60,$A$61:$H$61,0))*고양시_Modal_split!D$3 * 0.01</f>
        <v>15.187486384595941</v>
      </c>
      <c r="O67" s="206">
        <f>INDEX($A$61:$H$74,MATCH($L67,$B$61:$B$74,0),MATCH($M$60,$A$61:$H$61,0))*고양시_Modal_split!E$3 * 0.01</f>
        <v>1.8374824054507952</v>
      </c>
      <c r="P67" s="206">
        <f>INDEX($A$61:$H$74,MATCH($L67,$B$61:$B$74,0),MATCH($M$60,$A$61:$H$61,0))*고양시_Modal_split!F$3 * 0.01</f>
        <v>2.9612853528969758</v>
      </c>
      <c r="Q67" s="206">
        <f>INDEX($A$61:$H$74,MATCH($L67,$B$61:$B$74,0),MATCH($M$60,$A$61:$H$61,0))*고양시_Modal_split!G$3 * 0.01</f>
        <v>0.29709733093404772</v>
      </c>
      <c r="R67" s="206">
        <f>INDEX($A$61:$H$74,MATCH($L67,$B$61:$B$74,0),MATCH($M$60,$A$61:$H$61,0))*고양시_Modal_split!H$3 * 0.01</f>
        <v>3.2293188145005192E-3</v>
      </c>
      <c r="S67" s="206">
        <f>INDEX($A$61:$H$74,MATCH($L67,$B$61:$B$74,0),MATCH($M$60,$A$61:$H$61,0))*고양시_Modal_split!I$3 * 0.01</f>
        <v>0.89775063043114411</v>
      </c>
      <c r="T67" s="206">
        <f>INDEX($A$61:$H$74,MATCH($L67,$B$61:$B$74,0),MATCH($M$60,$A$61:$H$61,0))*고양시_Modal_split!J$3 * 0.01</f>
        <v>9.8300464713395801</v>
      </c>
      <c r="U67" s="206">
        <f>INDEX($A$61:$H$74,MATCH($L67,$B$61:$B$74,0),MATCH($M$60,$A$61:$H$61,0))*고양시_Modal_split!K$3 * 0.01</f>
        <v>4.8439782217507783E-2</v>
      </c>
      <c r="V67" s="206">
        <f>INDEX($A$61:$H$74,MATCH($L67,$B$61:$B$74,0),MATCH($M$60,$A$61:$H$61,0))*고양시_Modal_split!L$3 * 0.01</f>
        <v>0.97525428197915676</v>
      </c>
      <c r="W67" s="206">
        <f>INDEX($A$61:$H$74,MATCH($L67,$B$61:$B$74,0),MATCH($M$60,$A$61:$H$61,0))*고양시_Modal_split!M$3 * 0.01</f>
        <v>7.427433273351193E-2</v>
      </c>
      <c r="X67" s="206">
        <f>INDEX($A$61:$H$74,MATCH($L67,$B$61:$B$74,0),MATCH($M$60,$A$61:$H$61,0))*고양시_Modal_split!N$3 * 0.01</f>
        <v>3.2293188145005189E-2</v>
      </c>
      <c r="Y67" s="206">
        <f>INDEX($A$61:$H$74,MATCH($L67,$B$61:$B$74,0),MATCH($M$60,$A$61:$H$61,0))*고양시_Modal_split!O$3 * 0.01</f>
        <v>5.8127738661009343E-2</v>
      </c>
      <c r="Z67" s="209">
        <f>INDEX($A$61:$H$74,MATCH($L67,$B$61:$B$74,0),MATCH($M$60,$A$61:$H$61,0))*고양시_Modal_split!P$3 * 0.01</f>
        <v>32.293188145005189</v>
      </c>
      <c r="AA67" s="207">
        <f>INDEX($A$61:$H$74,MATCH($L67,$B$61:$B$74,0),MATCH($AA$60,$A$61:$H$61,0))*고양시_Modal_split!C$3 * 0.01</f>
        <v>0.70312518484533781</v>
      </c>
      <c r="AB67" s="207">
        <f>INDEX($A$61:$H$74,MATCH($L67,$B$61:$B$74,0),MATCH($AA$60,$A$61:$H$61,0))*고양시_Modal_split!D$3 * 0.01</f>
        <v>118.0999194402723</v>
      </c>
      <c r="AC67" s="207">
        <f>INDEX($A$61:$H$74,MATCH($L67,$B$61:$B$74,0),MATCH($AA$60,$A$61:$H$61,0))*고양시_Modal_split!E$3 * 0.01</f>
        <v>14.288508220607046</v>
      </c>
      <c r="AD67" s="207">
        <f>INDEX($A$61:$H$74,MATCH($L67,$B$61:$B$74,0),MATCH($AA$60,$A$61:$H$61,0))*고양시_Modal_split!F$3 * 0.01</f>
        <v>23.027349803684821</v>
      </c>
      <c r="AE67" s="207">
        <f>INDEX($A$61:$H$74,MATCH($L67,$B$61:$B$74,0),MATCH($AA$60,$A$61:$H$61,0))*고양시_Modal_split!G$3 * 0.01</f>
        <v>2.3102684644918243</v>
      </c>
      <c r="AF67" s="207">
        <f>INDEX($A$61:$H$74,MATCH($L67,$B$61:$B$74,0),MATCH($AA$60,$A$61:$H$61,0))*고양시_Modal_split!H$3 * 0.01</f>
        <v>2.5111613744476357E-2</v>
      </c>
      <c r="AG67" s="207">
        <f>INDEX($A$61:$H$74,MATCH($L67,$B$61:$B$74,0),MATCH($AA$60,$A$61:$H$61,0))*고양시_Modal_split!I$3 * 0.01</f>
        <v>6.9810286209644268</v>
      </c>
      <c r="AH67" s="207">
        <f>INDEX($A$61:$H$74,MATCH($L67,$B$61:$B$74,0),MATCH($AA$60,$A$61:$H$61,0))*고양시_Modal_split!J$3 * 0.01</f>
        <v>76.439752238186031</v>
      </c>
      <c r="AI67" s="207">
        <f>INDEX($A$61:$H$74,MATCH($L67,$B$61:$B$74,0),MATCH($AA$60,$A$61:$H$61,0))*고양시_Modal_split!K$3 * 0.01</f>
        <v>0.37667420616714531</v>
      </c>
      <c r="AJ67" s="207">
        <f>INDEX($A$61:$H$74,MATCH($L67,$B$61:$B$74,0),MATCH($AA$60,$A$61:$H$61,0))*고양시_Modal_split!L$3 * 0.01</f>
        <v>7.5837073508318591</v>
      </c>
      <c r="AK67" s="207">
        <f>INDEX($A$61:$H$74,MATCH($L67,$B$61:$B$74,0),MATCH($AA$60,$A$61:$H$61,0))*고양시_Modal_split!M$3 * 0.01</f>
        <v>0.57756711612295608</v>
      </c>
      <c r="AL67" s="207">
        <f>INDEX($A$61:$H$74,MATCH($L67,$B$61:$B$74,0),MATCH($AA$60,$A$61:$H$61,0))*고양시_Modal_split!N$3 * 0.01</f>
        <v>0.25111613744476358</v>
      </c>
      <c r="AM67" s="207">
        <f>INDEX($A$61:$H$74,MATCH($L67,$B$61:$B$74,0),MATCH($AA$60,$A$61:$H$61,0))*고양시_Modal_split!O$3 * 0.01</f>
        <v>0.4520090474005744</v>
      </c>
      <c r="AN67" s="207">
        <f>INDEX($A$61:$H$74,MATCH($L67,$B$61:$B$74,0),MATCH($AA$60,$A$61:$H$61,0))*고양시_Modal_split!P$3 * 0.01</f>
        <v>251.11613744476355</v>
      </c>
      <c r="AO67" s="303">
        <f>INDEX($A$61:$H$74,MATCH($L67,$B$61:$B$74,0),MATCH($AO$60,$A$61:$H$61,0))*고양시_Modal_split!C$3 * 0.01</f>
        <v>3.1166272091962537E-2</v>
      </c>
      <c r="AP67" s="303">
        <f>INDEX($A$61:$H$74,MATCH($L67,$B$61:$B$74,0),MATCH($AO$60,$A$61:$H$61,0))*고양시_Modal_split!D$3 * 0.01</f>
        <v>5.2348206303035649</v>
      </c>
      <c r="AQ67" s="303">
        <f>INDEX($A$61:$H$74,MATCH($L67,$B$61:$B$74,0),MATCH($AO$60,$A$61:$H$61,0))*고양시_Modal_split!E$3 * 0.01</f>
        <v>0.6333431721545244</v>
      </c>
      <c r="AR67" s="303">
        <f>INDEX($A$61:$H$74,MATCH($L67,$B$61:$B$74,0),MATCH($AO$60,$A$61:$H$61,0))*고양시_Modal_split!F$3 * 0.01</f>
        <v>1.0206954110117732</v>
      </c>
      <c r="AS67" s="303">
        <f>INDEX($A$61:$H$74,MATCH($L67,$B$61:$B$74,0),MATCH($AO$60,$A$61:$H$61,0))*고양시_Modal_split!G$3 * 0.01</f>
        <v>0.10240346544501977</v>
      </c>
      <c r="AT67" s="303">
        <f>INDEX($A$61:$H$74,MATCH($L67,$B$61:$B$74,0),MATCH($AO$60,$A$61:$H$61,0))*고양시_Modal_split!H$3 * 0.01</f>
        <v>1.1130811461415192E-3</v>
      </c>
      <c r="AU67" s="303">
        <f>INDEX($A$61:$H$74,MATCH($L67,$B$61:$B$74,0),MATCH($AO$60,$A$61:$H$61,0))*고양시_Modal_split!I$3 * 0.01</f>
        <v>0.30943655862734232</v>
      </c>
      <c r="AV67" s="303">
        <f>INDEX($A$61:$H$74,MATCH($L67,$B$61:$B$74,0),MATCH($AO$60,$A$61:$H$61,0))*고양시_Modal_split!J$3 * 0.01</f>
        <v>3.3882190088547843</v>
      </c>
      <c r="AW67" s="303">
        <f>INDEX($A$61:$H$74,MATCH($L67,$B$61:$B$74,0),MATCH($AO$60,$A$61:$H$61,0))*고양시_Modal_split!K$3 * 0.01</f>
        <v>1.6696217192122786E-2</v>
      </c>
      <c r="AX67" s="303">
        <f>INDEX($A$61:$H$74,MATCH($L67,$B$61:$B$74,0),MATCH($AO$60,$A$61:$H$61,0))*고양시_Modal_split!L$3 * 0.01</f>
        <v>0.33615050613473879</v>
      </c>
      <c r="AY67" s="303">
        <f>INDEX($A$61:$H$74,MATCH($L67,$B$61:$B$74,0),MATCH($AO$60,$A$61:$H$61,0))*고양시_Modal_split!M$3 * 0.01</f>
        <v>2.5600866361254943E-2</v>
      </c>
      <c r="AZ67" s="303">
        <f>INDEX($A$61:$H$74,MATCH($L67,$B$61:$B$74,0),MATCH($AO$60,$A$61:$H$61,0))*고양시_Modal_split!N$3 * 0.01</f>
        <v>1.1130811461415193E-2</v>
      </c>
      <c r="BA67" s="207">
        <f>INDEX($A$61:$H$74,MATCH($L67,$B$61:$B$74,0),MATCH($AO$60,$A$61:$H$61,0))*고양시_Modal_split!O$3 * 0.01</f>
        <v>2.0035460630547345E-2</v>
      </c>
      <c r="BB67" s="207">
        <f>INDEX($A$61:$H$74,MATCH($L67,$B$61:$B$74,0),MATCH($AO$60,$A$61:$H$61,0))*고양시_Modal_split!P$3 * 0.01</f>
        <v>11.130811461415192</v>
      </c>
      <c r="BC67" s="207">
        <f>INDEX($A$61:$H$74,MATCH($L67,$B$61:$B$74,0),MATCH($BC$60,$A$61:$H$61,0))*고양시_Modal_split!C$3 * 0.01</f>
        <v>8.4518703978203158E-5</v>
      </c>
      <c r="BD67" s="207">
        <f>INDEX($A$61:$H$74,MATCH($L67,$B$61:$B$74,0),MATCH($BC$60,$A$61:$H$61,0))*고양시_Modal_split!D$3 * 0.01</f>
        <v>1.4196123743196051E-2</v>
      </c>
      <c r="BE67" s="207">
        <f>INDEX($A$61:$H$74,MATCH($L67,$B$61:$B$74,0),MATCH($BC$60,$A$61:$H$61,0))*고양시_Modal_split!E$3 * 0.01</f>
        <v>1.7175408058427712E-3</v>
      </c>
      <c r="BF67" s="207">
        <f>INDEX($A$61:$H$74,MATCH($L67,$B$61:$B$74,0),MATCH($BC$60,$A$61:$H$61,0))*고양시_Modal_split!F$3 * 0.01</f>
        <v>2.7679875552861534E-3</v>
      </c>
      <c r="BG67" s="207">
        <f>INDEX($A$61:$H$74,MATCH($L67,$B$61:$B$74,0),MATCH($BC$60,$A$61:$H$61,0))*고양시_Modal_split!G$3 * 0.01</f>
        <v>2.7770431307123895E-4</v>
      </c>
      <c r="BH67" s="207">
        <f>INDEX($A$61:$H$74,MATCH($L67,$B$61:$B$74,0),MATCH($BC$60,$A$61:$H$61,0))*고양시_Modal_split!H$3 * 0.01</f>
        <v>3.0185251420786842E-6</v>
      </c>
      <c r="BI67" s="207">
        <f>INDEX($A$61:$H$74,MATCH($L67,$B$61:$B$74,0),MATCH($BC$60,$A$61:$H$61,0))*고양시_Modal_split!I$3 * 0.01</f>
        <v>8.3914998949787423E-4</v>
      </c>
      <c r="BJ67" s="207">
        <f>INDEX($A$61:$H$74,MATCH($L67,$B$61:$B$74,0),MATCH($BC$60,$A$61:$H$61,0))*고양시_Modal_split!J$3 * 0.01</f>
        <v>9.1883905324875153E-3</v>
      </c>
      <c r="BK67" s="207">
        <f>INDEX($A$61:$H$74,MATCH($L67,$B$61:$B$74,0),MATCH($BC$60,$A$61:$H$61,0))*고양시_Modal_split!K$3 * 0.01</f>
        <v>4.527787713118027E-5</v>
      </c>
      <c r="BL67" s="207">
        <f>INDEX($A$61:$H$74,MATCH($L67,$B$61:$B$74,0),MATCH($BC$60,$A$61:$H$61,0))*고양시_Modal_split!L$3 * 0.01</f>
        <v>9.1159459290776265E-4</v>
      </c>
      <c r="BM67" s="207">
        <f>INDEX($A$61:$H$74,MATCH($L67,$B$61:$B$74,0),MATCH($BC$60,$A$61:$H$61,0))*고양시_Modal_split!M$3 * 0.01</f>
        <v>6.9426078267809737E-5</v>
      </c>
      <c r="BN67" s="207">
        <f>INDEX($A$61:$H$74,MATCH($L67,$B$61:$B$74,0),MATCH($BC$60,$A$61:$H$61,0))*고양시_Modal_split!N$3 * 0.01</f>
        <v>3.0185251420786845E-5</v>
      </c>
      <c r="BO67" s="207">
        <f>INDEX($A$61:$H$74,MATCH($L67,$B$61:$B$74,0),MATCH($BC$60,$A$61:$H$61,0))*고양시_Modal_split!O$3 * 0.01</f>
        <v>5.4333452557416322E-5</v>
      </c>
      <c r="BP67" s="207">
        <f>INDEX($A$61:$H$74,MATCH($L67,$B$61:$B$74,0),MATCH($BC$60,$A$61:$H$61,0))*고양시_Modal_split!P$3 * 0.01</f>
        <v>3.0185251420786843E-2</v>
      </c>
      <c r="BQ67" s="207">
        <f>INDEX($A$61:$H$74,MATCH($L67,$B$61:$B$74,0),MATCH($BQ$60,$A$61:$H$61,0))*고양시_Modal_split!C$3 * 0.01</f>
        <v>2.3946966127157634E-4</v>
      </c>
      <c r="BR67" s="207">
        <f>INDEX($A$61:$H$74,MATCH($L67,$B$61:$B$74,0),MATCH($BQ$60,$A$61:$H$61,0))*고양시_Modal_split!D$3 * 0.01</f>
        <v>4.0222350605722275E-2</v>
      </c>
      <c r="BS67" s="207">
        <f>INDEX($A$61:$H$74,MATCH($L67,$B$61:$B$74,0),MATCH($BQ$60,$A$61:$H$61,0))*고양시_Modal_split!E$3 * 0.01</f>
        <v>4.8663656165545332E-3</v>
      </c>
      <c r="BT67" s="207">
        <f>INDEX($A$61:$H$74,MATCH($L67,$B$61:$B$74,0),MATCH($BQ$60,$A$61:$H$61,0))*고양시_Modal_split!F$3 * 0.01</f>
        <v>7.8426314066441256E-3</v>
      </c>
      <c r="BU67" s="207">
        <f>INDEX($A$61:$H$74,MATCH($L67,$B$61:$B$74,0),MATCH($BQ$60,$A$61:$H$61,0))*고양시_Modal_split!G$3 * 0.01</f>
        <v>7.868288870351793E-4</v>
      </c>
      <c r="BV67" s="207">
        <f>INDEX($A$61:$H$74,MATCH($L67,$B$61:$B$74,0),MATCH($BQ$60,$A$61:$H$61,0))*고양시_Modal_split!H$3 * 0.01</f>
        <v>8.5524879025562984E-6</v>
      </c>
      <c r="BW67" s="207">
        <f>INDEX($A$61:$H$74,MATCH($L67,$B$61:$B$74,0),MATCH($BQ$60,$A$61:$H$61,0))*고양시_Modal_split!I$3 * 0.01</f>
        <v>2.3775916369106506E-3</v>
      </c>
      <c r="BX67" s="207">
        <f>INDEX($A$61:$H$74,MATCH($L67,$B$61:$B$74,0),MATCH($BQ$60,$A$61:$H$61,0))*고양시_Modal_split!J$3 * 0.01</f>
        <v>2.6033773175381372E-2</v>
      </c>
      <c r="BY67" s="207">
        <f>INDEX($A$61:$H$74,MATCH($L67,$B$61:$B$74,0),MATCH($BQ$60,$A$61:$H$61,0))*고양시_Modal_split!K$3 * 0.01</f>
        <v>1.2828731853834448E-4</v>
      </c>
      <c r="BZ67" s="207">
        <f>INDEX($A$61:$H$74,MATCH($L67,$B$61:$B$74,0),MATCH($BQ$60,$A$61:$H$61,0))*고양시_Modal_split!L$3 * 0.01</f>
        <v>2.5828513465720022E-3</v>
      </c>
      <c r="CA67" s="207">
        <f>INDEX($A$61:$H$74,MATCH($L67,$B$61:$B$74,0),MATCH($BQ$60,$A$61:$H$61,0))*고양시_Modal_split!M$3 * 0.01</f>
        <v>1.9670722175879482E-4</v>
      </c>
      <c r="CB67" s="207">
        <f>INDEX($A$61:$H$74,MATCH($L67,$B$61:$B$74,0),MATCH($BQ$60,$A$61:$H$61,0))*고양시_Modal_split!N$3 * 0.01</f>
        <v>8.5524879025562981E-5</v>
      </c>
      <c r="CC67" s="207">
        <f>INDEX($A$61:$H$74,MATCH($L67,$B$61:$B$74,0),MATCH($BQ$60,$A$61:$H$61,0))*고양시_Modal_split!O$3 * 0.01</f>
        <v>1.5394478224601337E-4</v>
      </c>
      <c r="CD67" s="207">
        <f>INDEX($A$61:$H$74,MATCH($L67,$B$61:$B$74,0),MATCH($BQ$60,$A$61:$H$61,0))*고양시_Modal_split!P$3 * 0.01</f>
        <v>8.552487902556298E-2</v>
      </c>
      <c r="CE67" s="304">
        <f t="shared" si="31"/>
        <v>0.82503637210856462</v>
      </c>
      <c r="CF67" s="304">
        <f t="shared" si="13"/>
        <v>138.57664492952074</v>
      </c>
      <c r="CG67" s="304">
        <f t="shared" si="14"/>
        <v>16.765917704634763</v>
      </c>
      <c r="CH67" s="304">
        <f t="shared" si="15"/>
        <v>27.019941186555499</v>
      </c>
      <c r="CI67" s="304">
        <f t="shared" si="16"/>
        <v>2.7108337940709979</v>
      </c>
      <c r="CJ67" s="304">
        <f t="shared" si="17"/>
        <v>2.9465584718163032E-2</v>
      </c>
      <c r="CK67" s="304">
        <f t="shared" si="18"/>
        <v>8.1914325516493207</v>
      </c>
      <c r="CL67" s="304">
        <f t="shared" si="19"/>
        <v>89.693239882088278</v>
      </c>
      <c r="CM67" s="304">
        <f t="shared" si="20"/>
        <v>0.44198377077244538</v>
      </c>
      <c r="CN67" s="304">
        <f t="shared" si="21"/>
        <v>8.8986065848852363</v>
      </c>
      <c r="CO67" s="304">
        <f t="shared" si="22"/>
        <v>0.67770844851774947</v>
      </c>
      <c r="CP67" s="304">
        <f t="shared" si="23"/>
        <v>0.29465584718163035</v>
      </c>
      <c r="CQ67" s="304">
        <f t="shared" si="24"/>
        <v>0.53038052492693466</v>
      </c>
      <c r="CR67" s="304">
        <f t="shared" si="25"/>
        <v>294.65584718163029</v>
      </c>
      <c r="CS67" s="305">
        <f t="shared" si="32"/>
        <v>0</v>
      </c>
      <c r="CV67" s="267" t="s">
        <v>13</v>
      </c>
      <c r="CW67" s="267" t="s">
        <v>13</v>
      </c>
      <c r="CX67" s="267">
        <f>INDEX($M$60:$Z$74,MATCH($CW67,$L$60:$L$74,0),MATCH(CX$61,$M$61:$Z$61,0))/INDEX(고양시_재차인원!$D$4:$H$35,MATCH("고양시",고양시_재차인원!$B$4:$B$35,0),MATCH($CX$60,고양시_재차인원!$D$4:$H$4,0))</f>
        <v>13.560255700532089</v>
      </c>
      <c r="CY67" s="267">
        <f>INDEX($M$60:$Z$74,MATCH($CW67,$L$60:$L$74,0),MATCH(CY$61,$M$61:$Z$61,0))/INDEX(고양시_재차인원!$K$4:$O$20,MATCH("경기도",고양시_재차인원!$K$4:$K$20,0),MATCH($CY$61,고양시_재차인원!$K$4:$O$4,0))</f>
        <v>1.1216807275097323E-4</v>
      </c>
      <c r="CZ67" s="267">
        <f>INDEX($M$60:$Z$74,MATCH($CW67,$L$60:$L$74,0),MATCH(CZ$61,$M$61:$Z$61,0))/INDEX(고양시_재차인원!$K$4:$O$20,MATCH("경기도",고양시_재차인원!$K$4:$K$20,0),MATCH($CZ$61,고양시_재차인원!$K$4:$O$4,0))</f>
        <v>3.1182724224770551E-2</v>
      </c>
      <c r="DA67" s="267">
        <f>INDEX($M$60:$Z$74,MATCH($CW67,$L$60:$L$74,0),MATCH(DA$61,$M$61:$Z$61,0))/INDEX(고양시_재차인원!$D$4:$H$35,MATCH("고양시",고양시_재차인원!$B$4:$B$35,0),MATCH($CX$60,고양시_재차인원!$D$4:$H$4,0))</f>
        <v>0.87076275176710416</v>
      </c>
      <c r="DB67" s="267">
        <f>INDEX($AA$60:$AN$74,MATCH($CW67,$L$60:$L$74,0),MATCH(DB$61,$AA$61:$AN$61,0))/INDEX(고양시_재차인원!$D$4:$H$35,MATCH("고양시",고양시_재차인원!$B$4:$B$35,0),MATCH($DB$60,고양시_재차인원!$D$4:$H$4,0))</f>
        <v>83.758808113668309</v>
      </c>
      <c r="DC67" s="267">
        <f>INDEX($AA$60:$AN$74,MATCH($CW67,$L$60:$L$74,0),MATCH(DC$61,$AA$61:$AN$61,0))/INDEX(고양시_재차인원!$K$4:$O$20,MATCH("경기도",고양시_재차인원!$K$4:$K$20,0),MATCH($DC$61,고양시_재차인원!$K$4:$O$4,0))</f>
        <v>8.7223389178452094E-4</v>
      </c>
      <c r="DD67" s="267">
        <f>INDEX($AA$60:$AN$74,MATCH($CW67,$L$60:$L$74,0),MATCH(DD$61,$AA$61:$AN$61,0))/INDEX(고양시_재차인원!$K$4:$O$20,MATCH("경기도",고양시_재차인원!$K$4:$K$20,0),MATCH($DD$61,고양시_재차인원!$K$4:$O$4,0))</f>
        <v>0.2424810219160968</v>
      </c>
      <c r="DE67" s="267">
        <f>INDEX($AA$60:$AN$74,MATCH($CW67,$L$60:$L$74,0),MATCH(DE$61,$AA$61:$AN$61,0))/INDEX(고양시_재차인원!$D$4:$H$35,MATCH("고양시",고양시_재차인원!$B$4:$B$35,0),MATCH($DB$60,고양시_재차인원!$D$4:$H$4,0))</f>
        <v>5.378515851653801</v>
      </c>
      <c r="DF67" s="267">
        <f>INDEX($AO$60:$BB$74,MATCH($CW67,$L$60:$L$74,0),MATCH(DF$61,$AO$61:$BB$61,0))/INDEX(고양시_재차인원!$D$4:$H$35,MATCH("고양시",고양시_재차인원!$B$4:$B$35,0),MATCH($DF$60,고양시_재차인원!$D$4:$H$4,0))</f>
        <v>4.0267851002335115</v>
      </c>
      <c r="DG67" s="267">
        <f>INDEX($AO$60:$BB$74,MATCH($CW67,$L$60:$L$74,0),MATCH(DG$61,$AO$61:$BB$61,0))/INDEX(고양시_재차인원!$K$4:$O$20,MATCH("경기도",고양시_재차인원!$K$4:$K$20,0),MATCH($DG$61,고양시_재차인원!$K$4:$O$4,0))</f>
        <v>3.8662075239371974E-5</v>
      </c>
      <c r="DH67" s="267">
        <f>INDEX($AO$60:$BB$74,MATCH($CW67,$L$60:$L$74,0),MATCH(DH$61,$AO$61:$BB$61,0))/INDEX(고양시_재차인원!$K$4:$O$20,MATCH("경기도",고양시_재차인원!$K$4:$K$20,0),MATCH($DH$61,고양시_재차인원!$K$4:$O$4,0))</f>
        <v>1.074805691654541E-2</v>
      </c>
      <c r="DI67" s="267">
        <f>INDEX($AO$60:$BB$74,MATCH($CW67,$L$60:$L$74,0),MATCH(DI$61,$AO$61:$BB$61,0))/INDEX(고양시_재차인원!$D$4:$H$35,MATCH("고양시",고양시_재차인원!$B$4:$B$35,0),MATCH($DF$60,고양시_재차인원!$D$4:$H$4,0))</f>
        <v>0.25857731241133752</v>
      </c>
      <c r="DJ67" s="267">
        <f>INDEX($BC$60:$BP$74,MATCH($CW67,$L$60:$L$74,0),MATCH(DJ$61,$BC$61:$BP$61,0))/INDEX(고양시_재차인원!$D$4:$H$35,MATCH("고양시",고양시_재차인원!$B$4:$B$35,0),MATCH($DJ$60,고양시_재차인원!$D$4:$H$4,0))</f>
        <v>1.0438326281761801E-2</v>
      </c>
      <c r="DK67" s="267">
        <f>INDEX($BC$60:$BP$74,MATCH($CW67,$L$60:$L$74,0),MATCH(DK$61,$BC$61:$BP$61,0))/INDEX(고양시_재차인원!$K$4:$O$20,MATCH("경기도",고양시_재차인원!$K$4:$K$20,0),MATCH($DK$61,고양시_재차인원!$K$4:$O$4,0))</f>
        <v>1.0484630573388969E-7</v>
      </c>
      <c r="DL67" s="267">
        <f>INDEX($BC$60:$BP$74,MATCH($CW67,$L$60:$L$74,0),MATCH(DL$61,$BC$61:$BP$61,0))/INDEX(고양시_재차인원!$K$4:$O$20,MATCH("경기도",고양시_재차인원!$K$4:$K$20,0),MATCH($DL$61,고양시_재차인원!$K$4:$O$4,0))</f>
        <v>2.9147272994021337E-5</v>
      </c>
      <c r="DM67" s="267">
        <f>INDEX($BC$60:$BP$74,MATCH($CW67,$L$60:$L$74,0),MATCH(DM$61,$BC$61:$BP$61,0))/INDEX(고양시_재차인원!$D$4:$H$35,MATCH("고양시",고양시_재차인원!$B$4:$B$35,0),MATCH($DJ$60,고양시_재차인원!$D$4:$H$4,0))</f>
        <v>6.7029014184394309E-4</v>
      </c>
      <c r="DN67" s="267">
        <f>INDEX($BQ$60:$CD$74,MATCH($CW67,$L$60:$L$74,0),MATCH(DN$61,$BQ$61:$CD$61,0))/INDEX(고양시_재차인원!$D$4:$H$35,MATCH("고양시",고양시_재차인원!$B$4:$B$35,0),MATCH($DN$60,고양시_재차인원!$D$4:$H$4,0))</f>
        <v>3.1922500480731961E-2</v>
      </c>
      <c r="DO67" s="267">
        <f>INDEX($BQ$60:$CD$74,MATCH($CW67,$L$60:$L$74,0),MATCH(DO$61,$BQ$61:$CD$61,0))/INDEX(고양시_재차인원!$K$4:$O$20,MATCH("경기도",고양시_재차인원!$K$4:$K$20,0),MATCH($DO$61,고양시_재차인원!$K$4:$O$4,0))</f>
        <v>2.9706453291268839E-7</v>
      </c>
      <c r="DP67" s="267">
        <f>INDEX($BQ$60:$CD$74,MATCH($CW67,$L$60:$L$74,0),MATCH(DP$61,$BQ$61:$CD$61,0))/INDEX(고양시_재차인원!$K$4:$O$20,MATCH("경기도",고양시_재차인원!$K$4:$K$20,0),MATCH($DP$61,고양시_재차인원!$K$4:$O$4,0))</f>
        <v>8.2583940149727361E-5</v>
      </c>
      <c r="DQ67" s="267">
        <f>INDEX($BQ$60:$CD$74,MATCH($CW67,$L$60:$L$74,0),MATCH(DQ$61,$BQ$61:$CD$61,0))/INDEX(고양시_재차인원!$D$4:$H$35,MATCH("고양시",고양시_재차인원!$B$4:$B$35,0),MATCH($DN$60,고양시_재차인원!$D$4:$H$4,0))</f>
        <v>2.0498820210888904E-3</v>
      </c>
      <c r="DR67" s="270">
        <f t="shared" si="33"/>
        <v>101.38820974119641</v>
      </c>
      <c r="DS67" s="270">
        <f t="shared" si="26"/>
        <v>1.0234659506135127E-3</v>
      </c>
      <c r="DT67" s="270">
        <f t="shared" si="27"/>
        <v>0.28452353427055649</v>
      </c>
      <c r="DU67" s="270">
        <f t="shared" si="28"/>
        <v>6.5105760879951751</v>
      </c>
      <c r="DW67" s="278" t="s">
        <v>13</v>
      </c>
      <c r="DX67" s="278" t="s">
        <v>13</v>
      </c>
      <c r="DY67" s="281">
        <f t="shared" ref="DY67:DY73" si="41">DR67+DU67</f>
        <v>107.89878582919158</v>
      </c>
      <c r="DZ67" s="281">
        <f t="shared" ref="DZ67:DZ73" si="42">DS67+DT67</f>
        <v>0.28554700022117002</v>
      </c>
      <c r="EB67" s="278" t="s">
        <v>13</v>
      </c>
      <c r="EC67" s="278" t="s">
        <v>13</v>
      </c>
      <c r="ED67" s="281">
        <f t="shared" ref="ED67" si="43">DY67</f>
        <v>107.89878582919158</v>
      </c>
      <c r="EE67" s="281">
        <f t="shared" si="40"/>
        <v>0.28554700022117002</v>
      </c>
      <c r="EK67" s="420" t="s">
        <v>622</v>
      </c>
      <c r="EL67" s="420" t="s">
        <v>621</v>
      </c>
      <c r="EM67" s="420" t="s">
        <v>221</v>
      </c>
      <c r="EN67" s="420">
        <v>32098.9882</v>
      </c>
      <c r="EO67" s="420">
        <v>1</v>
      </c>
      <c r="EP67" s="421">
        <v>849006</v>
      </c>
      <c r="EQ67" s="422">
        <f t="shared" si="37"/>
        <v>667.95526552960621</v>
      </c>
      <c r="ER67" s="422">
        <f t="shared" si="38"/>
        <v>1.7676994313527505</v>
      </c>
      <c r="ES67">
        <v>0</v>
      </c>
      <c r="EU67" s="306" t="s">
        <v>622</v>
      </c>
      <c r="EV67" s="306" t="s">
        <v>201</v>
      </c>
      <c r="EW67" s="306" t="s">
        <v>221</v>
      </c>
      <c r="EX67" s="306">
        <v>32098.9882</v>
      </c>
      <c r="EY67" s="306">
        <v>1</v>
      </c>
      <c r="EZ67" s="307">
        <v>849006</v>
      </c>
      <c r="FA67" s="308">
        <f t="shared" si="39"/>
        <v>667.95526552960621</v>
      </c>
      <c r="FB67" s="308">
        <f t="shared" si="30"/>
        <v>1.7676994313527505</v>
      </c>
      <c r="FD67" s="101"/>
      <c r="FE67" s="101"/>
      <c r="FF67" s="101"/>
      <c r="FG67" s="101"/>
      <c r="FH67" s="101"/>
      <c r="FI67" s="374"/>
      <c r="FJ67" s="404"/>
      <c r="FK67" s="404"/>
    </row>
    <row r="68" spans="1:167">
      <c r="A68" s="205" t="s">
        <v>167</v>
      </c>
      <c r="B68" s="205" t="s">
        <v>167</v>
      </c>
      <c r="C68" s="201">
        <f>$L35*KTDB_TripDistribution_2035!L$12</f>
        <v>133.87200461363341</v>
      </c>
      <c r="D68" s="201">
        <f>$L35*KTDB_TripDistribution_2035!M$12</f>
        <v>1041.0065602569755</v>
      </c>
      <c r="E68" s="201">
        <f>$L35*KTDB_TripDistribution_2035!N$12</f>
        <v>46.142983363088405</v>
      </c>
      <c r="F68" s="201">
        <f>$L35*KTDB_TripDistribution_2035!O$12</f>
        <v>0.12513351420498503</v>
      </c>
      <c r="G68" s="201">
        <f>$L35*KTDB_TripDistribution_2035!P$12</f>
        <v>0.3545449569141253</v>
      </c>
      <c r="H68" s="201">
        <f>$L35*KTDB_TripDistribution_2035!Q$12</f>
        <v>1221.5012267048164</v>
      </c>
      <c r="I68" s="56"/>
      <c r="J68" s="56"/>
      <c r="K68" s="206" t="s">
        <v>167</v>
      </c>
      <c r="L68" s="206" t="s">
        <v>167</v>
      </c>
      <c r="M68" s="206">
        <f>INDEX($A$61:$H$74,MATCH($L68,$B$61:$B$74,0),MATCH($M$60,$A$61:$H$61,0))*고양시_Modal_split!C$3 * 0.01</f>
        <v>0.37484161291817353</v>
      </c>
      <c r="N68" s="206">
        <f>INDEX($A$61:$H$74,MATCH($L68,$B$61:$B$74,0),MATCH($M$60,$A$61:$H$61,0))*고양시_Modal_split!D$3 * 0.01</f>
        <v>62.960003769791797</v>
      </c>
      <c r="O68" s="206">
        <f>INDEX($A$61:$H$74,MATCH($L68,$B$61:$B$74,0),MATCH($M$60,$A$61:$H$61,0))*고양시_Modal_split!E$3 * 0.01</f>
        <v>7.61731706251574</v>
      </c>
      <c r="P68" s="206">
        <f>INDEX($A$61:$H$74,MATCH($L68,$B$61:$B$74,0),MATCH($M$60,$A$61:$H$61,0))*고양시_Modal_split!F$3 * 0.01</f>
        <v>12.276062823070184</v>
      </c>
      <c r="Q68" s="206">
        <f>INDEX($A$61:$H$74,MATCH($L68,$B$61:$B$74,0),MATCH($M$60,$A$61:$H$61,0))*고양시_Modal_split!G$3 * 0.01</f>
        <v>1.2316224424454272</v>
      </c>
      <c r="R68" s="206">
        <f>INDEX($A$61:$H$74,MATCH($L68,$B$61:$B$74,0),MATCH($M$60,$A$61:$H$61,0))*고양시_Modal_split!H$3 * 0.01</f>
        <v>1.338720046136334E-2</v>
      </c>
      <c r="S68" s="206">
        <f>INDEX($A$61:$H$74,MATCH($L68,$B$61:$B$74,0),MATCH($M$60,$A$61:$H$61,0))*고양시_Modal_split!I$3 * 0.01</f>
        <v>3.7216417282590086</v>
      </c>
      <c r="T68" s="206">
        <f>INDEX($A$61:$H$74,MATCH($L68,$B$61:$B$74,0),MATCH($M$60,$A$61:$H$61,0))*고양시_Modal_split!J$3 * 0.01</f>
        <v>40.750638204390015</v>
      </c>
      <c r="U68" s="206">
        <f>INDEX($A$61:$H$74,MATCH($L68,$B$61:$B$74,0),MATCH($M$60,$A$61:$H$61,0))*고양시_Modal_split!K$3 * 0.01</f>
        <v>0.20080800692045009</v>
      </c>
      <c r="V68" s="206">
        <f>INDEX($A$61:$H$74,MATCH($L68,$B$61:$B$74,0),MATCH($M$60,$A$61:$H$61,0))*고양시_Modal_split!L$3 * 0.01</f>
        <v>4.0429345393317293</v>
      </c>
      <c r="W68" s="206">
        <f>INDEX($A$61:$H$74,MATCH($L68,$B$61:$B$74,0),MATCH($M$60,$A$61:$H$61,0))*고양시_Modal_split!M$3 * 0.01</f>
        <v>0.30790561061135679</v>
      </c>
      <c r="X68" s="206">
        <f>INDEX($A$61:$H$74,MATCH($L68,$B$61:$B$74,0),MATCH($M$60,$A$61:$H$61,0))*고양시_Modal_split!N$3 * 0.01</f>
        <v>0.13387200461363344</v>
      </c>
      <c r="Y68" s="206">
        <f>INDEX($A$61:$H$74,MATCH($L68,$B$61:$B$74,0),MATCH($M$60,$A$61:$H$61,0))*고양시_Modal_split!O$3 * 0.01</f>
        <v>0.24096960830454012</v>
      </c>
      <c r="Z68" s="209">
        <f>INDEX($A$61:$H$74,MATCH($L68,$B$61:$B$74,0),MATCH($M$60,$A$61:$H$61,0))*고양시_Modal_split!P$3 * 0.01</f>
        <v>133.87200461363341</v>
      </c>
      <c r="AA68" s="207">
        <f>INDEX($A$61:$H$74,MATCH($L68,$B$61:$B$74,0),MATCH($AA$60,$A$61:$H$61,0))*고양시_Modal_split!C$3 * 0.01</f>
        <v>2.9148183687195313</v>
      </c>
      <c r="AB68" s="207">
        <f>INDEX($A$61:$H$74,MATCH($L68,$B$61:$B$74,0),MATCH($AA$60,$A$61:$H$61,0))*고양시_Modal_split!D$3 * 0.01</f>
        <v>489.5853852888556</v>
      </c>
      <c r="AC68" s="207">
        <f>INDEX($A$61:$H$74,MATCH($L68,$B$61:$B$74,0),MATCH($AA$60,$A$61:$H$61,0))*고양시_Modal_split!E$3 * 0.01</f>
        <v>59.233273278621901</v>
      </c>
      <c r="AD68" s="207">
        <f>INDEX($A$61:$H$74,MATCH($L68,$B$61:$B$74,0),MATCH($AA$60,$A$61:$H$61,0))*고양시_Modal_split!F$3 * 0.01</f>
        <v>95.460301575564642</v>
      </c>
      <c r="AE68" s="207">
        <f>INDEX($A$61:$H$74,MATCH($L68,$B$61:$B$74,0),MATCH($AA$60,$A$61:$H$61,0))*고양시_Modal_split!G$3 * 0.01</f>
        <v>9.5772603543641743</v>
      </c>
      <c r="AF68" s="207">
        <f>INDEX($A$61:$H$74,MATCH($L68,$B$61:$B$74,0),MATCH($AA$60,$A$61:$H$61,0))*고양시_Modal_split!H$3 * 0.01</f>
        <v>0.10410065602569755</v>
      </c>
      <c r="AG68" s="207">
        <f>INDEX($A$61:$H$74,MATCH($L68,$B$61:$B$74,0),MATCH($AA$60,$A$61:$H$61,0))*고양시_Modal_split!I$3 * 0.01</f>
        <v>28.93998237514392</v>
      </c>
      <c r="AH68" s="207">
        <f>INDEX($A$61:$H$74,MATCH($L68,$B$61:$B$74,0),MATCH($AA$60,$A$61:$H$61,0))*고양시_Modal_split!J$3 * 0.01</f>
        <v>316.88239694222335</v>
      </c>
      <c r="AI68" s="207">
        <f>INDEX($A$61:$H$74,MATCH($L68,$B$61:$B$74,0),MATCH($AA$60,$A$61:$H$61,0))*고양시_Modal_split!K$3 * 0.01</f>
        <v>1.5615098403854633</v>
      </c>
      <c r="AJ68" s="207">
        <f>INDEX($A$61:$H$74,MATCH($L68,$B$61:$B$74,0),MATCH($AA$60,$A$61:$H$61,0))*고양시_Modal_split!L$3 * 0.01</f>
        <v>31.438398119760659</v>
      </c>
      <c r="AK68" s="207">
        <f>INDEX($A$61:$H$74,MATCH($L68,$B$61:$B$74,0),MATCH($AA$60,$A$61:$H$61,0))*고양시_Modal_split!M$3 * 0.01</f>
        <v>2.3943150885910436</v>
      </c>
      <c r="AL68" s="207">
        <f>INDEX($A$61:$H$74,MATCH($L68,$B$61:$B$74,0),MATCH($AA$60,$A$61:$H$61,0))*고양시_Modal_split!N$3 * 0.01</f>
        <v>1.0410065602569756</v>
      </c>
      <c r="AM68" s="207">
        <f>INDEX($A$61:$H$74,MATCH($L68,$B$61:$B$74,0),MATCH($AA$60,$A$61:$H$61,0))*고양시_Modal_split!O$3 * 0.01</f>
        <v>1.8738118084625557</v>
      </c>
      <c r="AN68" s="207">
        <f>INDEX($A$61:$H$74,MATCH($L68,$B$61:$B$74,0),MATCH($AA$60,$A$61:$H$61,0))*고양시_Modal_split!P$3 * 0.01</f>
        <v>1041.0065602569755</v>
      </c>
      <c r="AO68" s="303">
        <f>INDEX($A$61:$H$74,MATCH($L68,$B$61:$B$74,0),MATCH($AO$60,$A$61:$H$61,0))*고양시_Modal_split!C$3 * 0.01</f>
        <v>0.12920035341664751</v>
      </c>
      <c r="AP68" s="303">
        <f>INDEX($A$61:$H$74,MATCH($L68,$B$61:$B$74,0),MATCH($AO$60,$A$61:$H$61,0))*고양시_Modal_split!D$3 * 0.01</f>
        <v>21.701045075660478</v>
      </c>
      <c r="AQ68" s="303">
        <f>INDEX($A$61:$H$74,MATCH($L68,$B$61:$B$74,0),MATCH($AO$60,$A$61:$H$61,0))*고양시_Modal_split!E$3 * 0.01</f>
        <v>2.6255357533597299</v>
      </c>
      <c r="AR68" s="303">
        <f>INDEX($A$61:$H$74,MATCH($L68,$B$61:$B$74,0),MATCH($AO$60,$A$61:$H$61,0))*고양시_Modal_split!F$3 * 0.01</f>
        <v>4.2313115743952068</v>
      </c>
      <c r="AS68" s="303">
        <f>INDEX($A$61:$H$74,MATCH($L68,$B$61:$B$74,0),MATCH($AO$60,$A$61:$H$61,0))*고양시_Modal_split!G$3 * 0.01</f>
        <v>0.42451544694041332</v>
      </c>
      <c r="AT68" s="303">
        <f>INDEX($A$61:$H$74,MATCH($L68,$B$61:$B$74,0),MATCH($AO$60,$A$61:$H$61,0))*고양시_Modal_split!H$3 * 0.01</f>
        <v>4.6142983363088412E-3</v>
      </c>
      <c r="AU68" s="303">
        <f>INDEX($A$61:$H$74,MATCH($L68,$B$61:$B$74,0),MATCH($AO$60,$A$61:$H$61,0))*고양시_Modal_split!I$3 * 0.01</f>
        <v>1.2827749374938577</v>
      </c>
      <c r="AV68" s="303">
        <f>INDEX($A$61:$H$74,MATCH($L68,$B$61:$B$74,0),MATCH($AO$60,$A$61:$H$61,0))*고양시_Modal_split!J$3 * 0.01</f>
        <v>14.04592413572411</v>
      </c>
      <c r="AW68" s="303">
        <f>INDEX($A$61:$H$74,MATCH($L68,$B$61:$B$74,0),MATCH($AO$60,$A$61:$H$61,0))*고양시_Modal_split!K$3 * 0.01</f>
        <v>6.9214475044632601E-2</v>
      </c>
      <c r="AX68" s="303">
        <f>INDEX($A$61:$H$74,MATCH($L68,$B$61:$B$74,0),MATCH($AO$60,$A$61:$H$61,0))*고양시_Modal_split!L$3 * 0.01</f>
        <v>1.3935180975652699</v>
      </c>
      <c r="AY68" s="303">
        <f>INDEX($A$61:$H$74,MATCH($L68,$B$61:$B$74,0),MATCH($AO$60,$A$61:$H$61,0))*고양시_Modal_split!M$3 * 0.01</f>
        <v>0.10612886173510333</v>
      </c>
      <c r="AZ68" s="303">
        <f>INDEX($A$61:$H$74,MATCH($L68,$B$61:$B$74,0),MATCH($AO$60,$A$61:$H$61,0))*고양시_Modal_split!N$3 * 0.01</f>
        <v>4.6142983363088412E-2</v>
      </c>
      <c r="BA68" s="207">
        <f>INDEX($A$61:$H$74,MATCH($L68,$B$61:$B$74,0),MATCH($AO$60,$A$61:$H$61,0))*고양시_Modal_split!O$3 * 0.01</f>
        <v>8.3057370053559121E-2</v>
      </c>
      <c r="BB68" s="207">
        <f>INDEX($A$61:$H$74,MATCH($L68,$B$61:$B$74,0),MATCH($AO$60,$A$61:$H$61,0))*고양시_Modal_split!P$3 * 0.01</f>
        <v>46.142983363088405</v>
      </c>
      <c r="BC68" s="207">
        <f>INDEX($A$61:$H$74,MATCH($L68,$B$61:$B$74,0),MATCH($BC$60,$A$61:$H$61,0))*고양시_Modal_split!C$3 * 0.01</f>
        <v>3.5037383977395802E-4</v>
      </c>
      <c r="BD68" s="207">
        <f>INDEX($A$61:$H$74,MATCH($L68,$B$61:$B$74,0),MATCH($BC$60,$A$61:$H$61,0))*고양시_Modal_split!D$3 * 0.01</f>
        <v>5.8850291730604465E-2</v>
      </c>
      <c r="BE68" s="207">
        <f>INDEX($A$61:$H$74,MATCH($L68,$B$61:$B$74,0),MATCH($BC$60,$A$61:$H$61,0))*고양시_Modal_split!E$3 * 0.01</f>
        <v>7.1200969582636475E-3</v>
      </c>
      <c r="BF68" s="207">
        <f>INDEX($A$61:$H$74,MATCH($L68,$B$61:$B$74,0),MATCH($BC$60,$A$61:$H$61,0))*고양시_Modal_split!F$3 * 0.01</f>
        <v>1.1474743252597128E-2</v>
      </c>
      <c r="BG68" s="207">
        <f>INDEX($A$61:$H$74,MATCH($L68,$B$61:$B$74,0),MATCH($BC$60,$A$61:$H$61,0))*고양시_Modal_split!G$3 * 0.01</f>
        <v>1.1512283306858622E-3</v>
      </c>
      <c r="BH68" s="207">
        <f>INDEX($A$61:$H$74,MATCH($L68,$B$61:$B$74,0),MATCH($BC$60,$A$61:$H$61,0))*고양시_Modal_split!H$3 * 0.01</f>
        <v>1.2513351420498502E-5</v>
      </c>
      <c r="BI68" s="207">
        <f>INDEX($A$61:$H$74,MATCH($L68,$B$61:$B$74,0),MATCH($BC$60,$A$61:$H$61,0))*고양시_Modal_split!I$3 * 0.01</f>
        <v>3.4787116948985838E-3</v>
      </c>
      <c r="BJ68" s="207">
        <f>INDEX($A$61:$H$74,MATCH($L68,$B$61:$B$74,0),MATCH($BC$60,$A$61:$H$61,0))*고양시_Modal_split!J$3 * 0.01</f>
        <v>3.8090641723997447E-2</v>
      </c>
      <c r="BK68" s="207">
        <f>INDEX($A$61:$H$74,MATCH($L68,$B$61:$B$74,0),MATCH($BC$60,$A$61:$H$61,0))*고양시_Modal_split!K$3 * 0.01</f>
        <v>1.8770027130747755E-4</v>
      </c>
      <c r="BL68" s="207">
        <f>INDEX($A$61:$H$74,MATCH($L68,$B$61:$B$74,0),MATCH($BC$60,$A$61:$H$61,0))*고양시_Modal_split!L$3 * 0.01</f>
        <v>3.7790321289905482E-3</v>
      </c>
      <c r="BM68" s="207">
        <f>INDEX($A$61:$H$74,MATCH($L68,$B$61:$B$74,0),MATCH($BC$60,$A$61:$H$61,0))*고양시_Modal_split!M$3 * 0.01</f>
        <v>2.8780708267146554E-4</v>
      </c>
      <c r="BN68" s="207">
        <f>INDEX($A$61:$H$74,MATCH($L68,$B$61:$B$74,0),MATCH($BC$60,$A$61:$H$61,0))*고양시_Modal_split!N$3 * 0.01</f>
        <v>1.2513351420498502E-4</v>
      </c>
      <c r="BO68" s="207">
        <f>INDEX($A$61:$H$74,MATCH($L68,$B$61:$B$74,0),MATCH($BC$60,$A$61:$H$61,0))*고양시_Modal_split!O$3 * 0.01</f>
        <v>2.2524032556897307E-4</v>
      </c>
      <c r="BP68" s="207">
        <f>INDEX($A$61:$H$74,MATCH($L68,$B$61:$B$74,0),MATCH($BC$60,$A$61:$H$61,0))*고양시_Modal_split!P$3 * 0.01</f>
        <v>0.12513351420498503</v>
      </c>
      <c r="BQ68" s="207">
        <f>INDEX($A$61:$H$74,MATCH($L68,$B$61:$B$74,0),MATCH($BQ$60,$A$61:$H$61,0))*고양시_Modal_split!C$3 * 0.01</f>
        <v>9.9272587935955075E-4</v>
      </c>
      <c r="BR68" s="207">
        <f>INDEX($A$61:$H$74,MATCH($L68,$B$61:$B$74,0),MATCH($BQ$60,$A$61:$H$61,0))*고양시_Modal_split!D$3 * 0.01</f>
        <v>0.16674249323671311</v>
      </c>
      <c r="BS68" s="207">
        <f>INDEX($A$61:$H$74,MATCH($L68,$B$61:$B$74,0),MATCH($BQ$60,$A$61:$H$61,0))*고양시_Modal_split!E$3 * 0.01</f>
        <v>2.0173608048413727E-2</v>
      </c>
      <c r="BT68" s="207">
        <f>INDEX($A$61:$H$74,MATCH($L68,$B$61:$B$74,0),MATCH($BQ$60,$A$61:$H$61,0))*고양시_Modal_split!F$3 * 0.01</f>
        <v>3.2511772549025292E-2</v>
      </c>
      <c r="BU68" s="207">
        <f>INDEX($A$61:$H$74,MATCH($L68,$B$61:$B$74,0),MATCH($BQ$60,$A$61:$H$61,0))*고양시_Modal_split!G$3 * 0.01</f>
        <v>3.2618136036099525E-3</v>
      </c>
      <c r="BV68" s="207">
        <f>INDEX($A$61:$H$74,MATCH($L68,$B$61:$B$74,0),MATCH($BQ$60,$A$61:$H$61,0))*고양시_Modal_split!H$3 * 0.01</f>
        <v>3.5454495691412534E-5</v>
      </c>
      <c r="BW68" s="207">
        <f>INDEX($A$61:$H$74,MATCH($L68,$B$61:$B$74,0),MATCH($BQ$60,$A$61:$H$61,0))*고양시_Modal_split!I$3 * 0.01</f>
        <v>9.8563498022126838E-3</v>
      </c>
      <c r="BX68" s="207">
        <f>INDEX($A$61:$H$74,MATCH($L68,$B$61:$B$74,0),MATCH($BQ$60,$A$61:$H$61,0))*고양시_Modal_split!J$3 * 0.01</f>
        <v>0.10792348488465975</v>
      </c>
      <c r="BY68" s="207">
        <f>INDEX($A$61:$H$74,MATCH($L68,$B$61:$B$74,0),MATCH($BQ$60,$A$61:$H$61,0))*고양시_Modal_split!K$3 * 0.01</f>
        <v>5.3181743537118796E-4</v>
      </c>
      <c r="BZ68" s="207">
        <f>INDEX($A$61:$H$74,MATCH($L68,$B$61:$B$74,0),MATCH($BQ$60,$A$61:$H$61,0))*고양시_Modal_split!L$3 * 0.01</f>
        <v>1.0707257698806585E-2</v>
      </c>
      <c r="CA68" s="207">
        <f>INDEX($A$61:$H$74,MATCH($L68,$B$61:$B$74,0),MATCH($BQ$60,$A$61:$H$61,0))*고양시_Modal_split!M$3 * 0.01</f>
        <v>8.1545340090248813E-4</v>
      </c>
      <c r="CB68" s="207">
        <f>INDEX($A$61:$H$74,MATCH($L68,$B$61:$B$74,0),MATCH($BQ$60,$A$61:$H$61,0))*고양시_Modal_split!N$3 * 0.01</f>
        <v>3.5454495691412534E-4</v>
      </c>
      <c r="CC68" s="207">
        <f>INDEX($A$61:$H$74,MATCH($L68,$B$61:$B$74,0),MATCH($BQ$60,$A$61:$H$61,0))*고양시_Modal_split!O$3 * 0.01</f>
        <v>6.3818092244542551E-4</v>
      </c>
      <c r="CD68" s="207">
        <f>INDEX($A$61:$H$74,MATCH($L68,$B$61:$B$74,0),MATCH($BQ$60,$A$61:$H$61,0))*고양시_Modal_split!P$3 * 0.01</f>
        <v>0.35454495691412535</v>
      </c>
      <c r="CE68" s="304">
        <f t="shared" si="31"/>
        <v>3.4202034347734855</v>
      </c>
      <c r="CF68" s="304">
        <f t="shared" si="13"/>
        <v>574.47202691927509</v>
      </c>
      <c r="CG68" s="304">
        <f t="shared" si="14"/>
        <v>69.503419799504044</v>
      </c>
      <c r="CH68" s="304">
        <f t="shared" si="15"/>
        <v>112.01166248883166</v>
      </c>
      <c r="CI68" s="304">
        <f t="shared" si="16"/>
        <v>11.237811285684311</v>
      </c>
      <c r="CJ68" s="304">
        <f t="shared" si="17"/>
        <v>0.12215012267048164</v>
      </c>
      <c r="CK68" s="304">
        <f t="shared" si="18"/>
        <v>33.957734102393893</v>
      </c>
      <c r="CL68" s="304">
        <f t="shared" si="19"/>
        <v>371.82497340894616</v>
      </c>
      <c r="CM68" s="304">
        <f t="shared" si="20"/>
        <v>1.8322518400572247</v>
      </c>
      <c r="CN68" s="304">
        <f t="shared" si="21"/>
        <v>36.889337046485451</v>
      </c>
      <c r="CO68" s="304">
        <f t="shared" si="22"/>
        <v>2.8094528214210777</v>
      </c>
      <c r="CP68" s="304">
        <f t="shared" si="23"/>
        <v>1.2215012267048166</v>
      </c>
      <c r="CQ68" s="304">
        <f t="shared" si="24"/>
        <v>2.1987022080686693</v>
      </c>
      <c r="CR68" s="304">
        <f t="shared" si="25"/>
        <v>1221.5012267048164</v>
      </c>
      <c r="CS68" s="305">
        <f t="shared" si="32"/>
        <v>0</v>
      </c>
      <c r="CV68" s="267" t="s">
        <v>167</v>
      </c>
      <c r="CW68" s="267" t="s">
        <v>167</v>
      </c>
      <c r="CX68" s="267">
        <f>INDEX($M$60:$Z$74,MATCH($CW68,$L$60:$L$74,0),MATCH(CX$61,$M$61:$Z$61,0))/INDEX(고양시_재차인원!$D$4:$H$35,MATCH("고양시",고양시_재차인원!$B$4:$B$35,0),MATCH($CX$60,고양시_재차인원!$D$4:$H$4,0))</f>
        <v>56.214289080171241</v>
      </c>
      <c r="CY68" s="267">
        <f>INDEX($M$60:$Z$74,MATCH($CW68,$L$60:$L$74,0),MATCH(CY$61,$M$61:$Z$61,0))/INDEX(고양시_재차인원!$K$4:$O$20,MATCH("경기도",고양시_재차인원!$K$4:$K$20,0),MATCH($CY$61,고양시_재차인원!$K$4:$O$4,0))</f>
        <v>4.6499480588271417E-4</v>
      </c>
      <c r="CZ68" s="267">
        <f>INDEX($M$60:$Z$74,MATCH($CW68,$L$60:$L$74,0),MATCH(CZ$61,$M$61:$Z$61,0))/INDEX(고양시_재차인원!$K$4:$O$20,MATCH("경기도",고양시_재차인원!$K$4:$K$20,0),MATCH($CZ$61,고양시_재차인원!$K$4:$O$4,0))</f>
        <v>0.12926855603539453</v>
      </c>
      <c r="DA68" s="267">
        <f>INDEX($M$60:$Z$74,MATCH($CW68,$L$60:$L$74,0),MATCH(DA$61,$M$61:$Z$61,0))/INDEX(고양시_재차인원!$D$4:$H$35,MATCH("고양시",고양시_재차인원!$B$4:$B$35,0),MATCH($CX$60,고양시_재차인원!$D$4:$H$4,0))</f>
        <v>3.6097629815461865</v>
      </c>
      <c r="DB68" s="267">
        <f>INDEX($AA$60:$AN$74,MATCH($CW68,$L$60:$L$74,0),MATCH(DB$61,$AA$61:$AN$61,0))/INDEX(고양시_재차인원!$D$4:$H$35,MATCH("고양시",고양시_재차인원!$B$4:$B$35,0),MATCH($DB$60,고양시_재차인원!$D$4:$H$4,0))</f>
        <v>347.2236775098267</v>
      </c>
      <c r="DC68" s="267">
        <f>INDEX($AA$60:$AN$74,MATCH($CW68,$L$60:$L$74,0),MATCH(DC$61,$AA$61:$AN$61,0))/INDEX(고양시_재차인원!$K$4:$O$20,MATCH("경기도",고양시_재차인원!$K$4:$K$20,0),MATCH($DC$61,고양시_재차인원!$K$4:$O$4,0))</f>
        <v>3.6158616195101616E-3</v>
      </c>
      <c r="DD68" s="267">
        <f>INDEX($AA$60:$AN$74,MATCH($CW68,$L$60:$L$74,0),MATCH(DD$61,$AA$61:$AN$61,0))/INDEX(고양시_재차인원!$K$4:$O$20,MATCH("경기도",고양시_재차인원!$K$4:$K$20,0),MATCH($DD$61,고양시_재차인원!$K$4:$O$4,0))</f>
        <v>1.0052095302238249</v>
      </c>
      <c r="DE68" s="267">
        <f>INDEX($AA$60:$AN$74,MATCH($CW68,$L$60:$L$74,0),MATCH(DE$61,$AA$61:$AN$61,0))/INDEX(고양시_재차인원!$D$4:$H$35,MATCH("고양시",고양시_재차인원!$B$4:$B$35,0),MATCH($DB$60,고양시_재차인원!$D$4:$H$4,0))</f>
        <v>22.296736255149405</v>
      </c>
      <c r="DF68" s="267">
        <f>INDEX($AO$60:$BB$74,MATCH($CW68,$L$60:$L$74,0),MATCH(DF$61,$AO$61:$BB$61,0))/INDEX(고양시_재차인원!$D$4:$H$35,MATCH("고양시",고양시_재차인원!$B$4:$B$35,0),MATCH($DF$60,고양시_재차인원!$D$4:$H$4,0))</f>
        <v>16.693111596661904</v>
      </c>
      <c r="DG68" s="267">
        <f>INDEX($AO$60:$BB$74,MATCH($CW68,$L$60:$L$74,0),MATCH(DG$61,$AO$61:$BB$61,0))/INDEX(고양시_재차인원!$K$4:$O$20,MATCH("경기도",고양시_재차인원!$K$4:$K$20,0),MATCH($DG$61,고양시_재차인원!$K$4:$O$4,0))</f>
        <v>1.6027434304650368E-4</v>
      </c>
      <c r="DH68" s="267">
        <f>INDEX($AO$60:$BB$74,MATCH($CW68,$L$60:$L$74,0),MATCH(DH$61,$AO$61:$BB$61,0))/INDEX(고양시_재차인원!$K$4:$O$20,MATCH("경기도",고양시_재차인원!$K$4:$K$20,0),MATCH($DH$61,고양시_재차인원!$K$4:$O$4,0))</f>
        <v>4.4556267366928019E-2</v>
      </c>
      <c r="DI68" s="267">
        <f>INDEX($AO$60:$BB$74,MATCH($CW68,$L$60:$L$74,0),MATCH(DI$61,$AO$61:$BB$61,0))/INDEX(고양시_재차인원!$D$4:$H$35,MATCH("고양시",고양시_재차인원!$B$4:$B$35,0),MATCH($DF$60,고양시_재차인원!$D$4:$H$4,0))</f>
        <v>1.0719369981271307</v>
      </c>
      <c r="DJ68" s="267">
        <f>INDEX($BC$60:$BP$74,MATCH($CW68,$L$60:$L$74,0),MATCH(DJ$61,$BC$61:$BP$61,0))/INDEX(고양시_재차인원!$D$4:$H$35,MATCH("고양시",고양시_재차인원!$B$4:$B$35,0),MATCH($DJ$60,고양시_재차인원!$D$4:$H$4,0))</f>
        <v>4.3272273331326806E-2</v>
      </c>
      <c r="DK68" s="267">
        <f>INDEX($BC$60:$BP$74,MATCH($CW68,$L$60:$L$74,0),MATCH(DK$61,$BC$61:$BP$61,0))/INDEX(고양시_재차인원!$K$4:$O$20,MATCH("경기도",고양시_재차인원!$K$4:$K$20,0),MATCH($DK$61,고양시_재차인원!$K$4:$O$4,0))</f>
        <v>4.3464228622780487E-7</v>
      </c>
      <c r="DL68" s="267">
        <f>INDEX($BC$60:$BP$74,MATCH($CW68,$L$60:$L$74,0),MATCH(DL$61,$BC$61:$BP$61,0))/INDEX(고양시_재차인원!$K$4:$O$20,MATCH("경기도",고양시_재차인원!$K$4:$K$20,0),MATCH($DL$61,고양시_재차인원!$K$4:$O$4,0))</f>
        <v>1.2083055557132977E-4</v>
      </c>
      <c r="DM68" s="267">
        <f>INDEX($BC$60:$BP$74,MATCH($CW68,$L$60:$L$74,0),MATCH(DM$61,$BC$61:$BP$61,0))/INDEX(고양시_재차인원!$D$4:$H$35,MATCH("고양시",고양시_재차인원!$B$4:$B$35,0),MATCH($DJ$60,고양시_재차인원!$D$4:$H$4,0))</f>
        <v>2.7787000948459911E-3</v>
      </c>
      <c r="DN68" s="267">
        <f>INDEX($BQ$60:$CD$74,MATCH($CW68,$L$60:$L$74,0),MATCH(DN$61,$BQ$61:$CD$61,0))/INDEX(고양시_재차인원!$D$4:$H$35,MATCH("고양시",고양시_재차인원!$B$4:$B$35,0),MATCH($DN$60,고양시_재차인원!$D$4:$H$4,0))</f>
        <v>0.13233531209262944</v>
      </c>
      <c r="DO68" s="267">
        <f>INDEX($BQ$60:$CD$74,MATCH($CW68,$L$60:$L$74,0),MATCH(DO$61,$BQ$61:$CD$61,0))/INDEX(고양시_재차인원!$K$4:$O$20,MATCH("경기도",고양시_재차인원!$K$4:$K$20,0),MATCH($DO$61,고양시_재차인원!$K$4:$O$4,0))</f>
        <v>1.2314864776454511E-6</v>
      </c>
      <c r="DP68" s="267">
        <f>INDEX($BQ$60:$CD$74,MATCH($CW68,$L$60:$L$74,0),MATCH(DP$61,$BQ$61:$CD$61,0))/INDEX(고양시_재차인원!$K$4:$O$20,MATCH("경기도",고양시_재차인원!$K$4:$K$20,0),MATCH($DP$61,고양시_재차인원!$K$4:$O$4,0))</f>
        <v>3.4235324078543537E-4</v>
      </c>
      <c r="DQ68" s="267">
        <f>INDEX($BQ$60:$CD$74,MATCH($CW68,$L$60:$L$74,0),MATCH(DQ$61,$BQ$61:$CD$61,0))/INDEX(고양시_재차인원!$D$4:$H$35,MATCH("고양시",고양시_재차인원!$B$4:$B$35,0),MATCH($DN$60,고양시_재차인원!$D$4:$H$4,0))</f>
        <v>8.4978235704814171E-3</v>
      </c>
      <c r="DR68" s="270">
        <f t="shared" si="33"/>
        <v>420.30668577208377</v>
      </c>
      <c r="DS68" s="270">
        <f t="shared" si="26"/>
        <v>4.2427968972032536E-3</v>
      </c>
      <c r="DT68" s="270">
        <f t="shared" si="27"/>
        <v>1.1794975374225041</v>
      </c>
      <c r="DU68" s="270">
        <f t="shared" si="28"/>
        <v>26.989712758488054</v>
      </c>
      <c r="DW68" s="278" t="s">
        <v>167</v>
      </c>
      <c r="DX68" s="278" t="s">
        <v>167</v>
      </c>
      <c r="DY68" s="281">
        <f t="shared" si="41"/>
        <v>447.29639853057182</v>
      </c>
      <c r="DZ68" s="281">
        <f t="shared" si="42"/>
        <v>1.1837403343197073</v>
      </c>
      <c r="EB68" s="278" t="s">
        <v>168</v>
      </c>
      <c r="EC68" s="278" t="s">
        <v>168</v>
      </c>
      <c r="ED68" s="281">
        <f>DY69</f>
        <v>1698.6080640448436</v>
      </c>
      <c r="EE68" s="281">
        <f t="shared" ref="EE68:EE73" si="44">DZ69</f>
        <v>4.495253894768763</v>
      </c>
      <c r="EK68" s="420" t="s">
        <v>168</v>
      </c>
      <c r="EL68" s="420" t="s">
        <v>168</v>
      </c>
      <c r="EM68" s="420" t="s">
        <v>569</v>
      </c>
      <c r="EN68" s="420">
        <v>63163.374600000003</v>
      </c>
      <c r="EO68" s="420">
        <v>0.3749310795992149</v>
      </c>
      <c r="EP68" s="421">
        <v>849007</v>
      </c>
      <c r="EQ68" s="422">
        <f t="shared" si="37"/>
        <v>618.71041804312006</v>
      </c>
      <c r="ER68" s="422">
        <f t="shared" si="38"/>
        <v>1.6373761995568383</v>
      </c>
      <c r="ES68">
        <v>0</v>
      </c>
      <c r="EU68" s="306" t="s">
        <v>168</v>
      </c>
      <c r="EV68" s="306" t="s">
        <v>168</v>
      </c>
      <c r="EW68" s="306" t="s">
        <v>569</v>
      </c>
      <c r="EX68" s="306">
        <v>63163.374600000003</v>
      </c>
      <c r="EY68" s="306">
        <v>0.3749310795992149</v>
      </c>
      <c r="EZ68" s="307">
        <v>849007</v>
      </c>
      <c r="FA68" s="308">
        <f t="shared" si="39"/>
        <v>618.71041804312006</v>
      </c>
      <c r="FB68" s="308">
        <f t="shared" si="30"/>
        <v>1.6373761995568383</v>
      </c>
      <c r="FD68" s="101"/>
      <c r="FE68" s="101"/>
      <c r="FF68" s="101"/>
      <c r="FG68" s="101"/>
      <c r="FH68" s="101"/>
      <c r="FI68" s="374"/>
      <c r="FJ68" s="404"/>
      <c r="FK68" s="404"/>
    </row>
    <row r="69" spans="1:167">
      <c r="A69" s="205" t="s">
        <v>168</v>
      </c>
      <c r="B69" s="205" t="s">
        <v>168</v>
      </c>
      <c r="C69" s="201">
        <f>$L36*KTDB_TripDistribution_2035!L$12</f>
        <v>508.37893471441424</v>
      </c>
      <c r="D69" s="201">
        <f>$L36*KTDB_TripDistribution_2035!M$12</f>
        <v>3953.2223907571333</v>
      </c>
      <c r="E69" s="201">
        <f>$L36*KTDB_TripDistribution_2035!N$12</f>
        <v>175.22797835420525</v>
      </c>
      <c r="F69" s="201">
        <f>$L36*KTDB_TripDistribution_2035!O$12</f>
        <v>0.47519451757072434</v>
      </c>
      <c r="G69" s="201">
        <f>$L36*KTDB_TripDistribution_2035!P$12</f>
        <v>1.3463844664503897</v>
      </c>
      <c r="H69" s="201">
        <f>$L36*KTDB_TripDistribution_2035!Q$12</f>
        <v>4638.650882809774</v>
      </c>
      <c r="I69" s="56"/>
      <c r="J69" s="56"/>
      <c r="K69" s="206" t="s">
        <v>168</v>
      </c>
      <c r="L69" s="206" t="s">
        <v>168</v>
      </c>
      <c r="M69" s="206">
        <f>INDEX($A$61:$H$74,MATCH($L69,$B$61:$B$74,0),MATCH($M$60,$A$61:$H$61,0))*고양시_Modal_split!C$3 * 0.01</f>
        <v>1.4234610172003597</v>
      </c>
      <c r="N69" s="206">
        <f>INDEX($A$61:$H$74,MATCH($L69,$B$61:$B$74,0),MATCH($M$60,$A$61:$H$61,0))*고양시_Modal_split!D$3 * 0.01</f>
        <v>239.09061299618901</v>
      </c>
      <c r="O69" s="206">
        <f>INDEX($A$61:$H$74,MATCH($L69,$B$61:$B$74,0),MATCH($M$60,$A$61:$H$61,0))*고양시_Modal_split!E$3 * 0.01</f>
        <v>28.92676138525017</v>
      </c>
      <c r="P69" s="206">
        <f>INDEX($A$61:$H$74,MATCH($L69,$B$61:$B$74,0),MATCH($M$60,$A$61:$H$61,0))*고양시_Modal_split!F$3 * 0.01</f>
        <v>46.618348313311792</v>
      </c>
      <c r="Q69" s="206">
        <f>INDEX($A$61:$H$74,MATCH($L69,$B$61:$B$74,0),MATCH($M$60,$A$61:$H$61,0))*고양시_Modal_split!G$3 * 0.01</f>
        <v>4.6770861993726109</v>
      </c>
      <c r="R69" s="206">
        <f>INDEX($A$61:$H$74,MATCH($L69,$B$61:$B$74,0),MATCH($M$60,$A$61:$H$61,0))*고양시_Modal_split!H$3 * 0.01</f>
        <v>5.0837893471441423E-2</v>
      </c>
      <c r="S69" s="206">
        <f>INDEX($A$61:$H$74,MATCH($L69,$B$61:$B$74,0),MATCH($M$60,$A$61:$H$61,0))*고양시_Modal_split!I$3 * 0.01</f>
        <v>14.132934385060715</v>
      </c>
      <c r="T69" s="206">
        <f>INDEX($A$61:$H$74,MATCH($L69,$B$61:$B$74,0),MATCH($M$60,$A$61:$H$61,0))*고양시_Modal_split!J$3 * 0.01</f>
        <v>154.7505477270677</v>
      </c>
      <c r="U69" s="206">
        <f>INDEX($A$61:$H$74,MATCH($L69,$B$61:$B$74,0),MATCH($M$60,$A$61:$H$61,0))*고양시_Modal_split!K$3 * 0.01</f>
        <v>0.76256840207162124</v>
      </c>
      <c r="V69" s="206">
        <f>INDEX($A$61:$H$74,MATCH($L69,$B$61:$B$74,0),MATCH($M$60,$A$61:$H$61,0))*고양시_Modal_split!L$3 * 0.01</f>
        <v>15.353043828375309</v>
      </c>
      <c r="W69" s="206">
        <f>INDEX($A$61:$H$74,MATCH($L69,$B$61:$B$74,0),MATCH($M$60,$A$61:$H$61,0))*고양시_Modal_split!M$3 * 0.01</f>
        <v>1.1692715498431527</v>
      </c>
      <c r="X69" s="206">
        <f>INDEX($A$61:$H$74,MATCH($L69,$B$61:$B$74,0),MATCH($M$60,$A$61:$H$61,0))*고양시_Modal_split!N$3 * 0.01</f>
        <v>0.50837893471441431</v>
      </c>
      <c r="Y69" s="206">
        <f>INDEX($A$61:$H$74,MATCH($L69,$B$61:$B$74,0),MATCH($M$60,$A$61:$H$61,0))*고양시_Modal_split!O$3 * 0.01</f>
        <v>0.91508208248594558</v>
      </c>
      <c r="Z69" s="209">
        <f>INDEX($A$61:$H$74,MATCH($L69,$B$61:$B$74,0),MATCH($M$60,$A$61:$H$61,0))*고양시_Modal_split!P$3 * 0.01</f>
        <v>508.37893471441424</v>
      </c>
      <c r="AA69" s="207">
        <f>INDEX($A$61:$H$74,MATCH($L69,$B$61:$B$74,0),MATCH($AA$60,$A$61:$H$61,0))*고양시_Modal_split!C$3 * 0.01</f>
        <v>11.069022694119973</v>
      </c>
      <c r="AB69" s="207">
        <f>INDEX($A$61:$H$74,MATCH($L69,$B$61:$B$74,0),MATCH($AA$60,$A$61:$H$61,0))*고양시_Modal_split!D$3 * 0.01</f>
        <v>1859.2004903730799</v>
      </c>
      <c r="AC69" s="207">
        <f>INDEX($A$61:$H$74,MATCH($L69,$B$61:$B$74,0),MATCH($AA$60,$A$61:$H$61,0))*고양시_Modal_split!E$3 * 0.01</f>
        <v>224.93835403408087</v>
      </c>
      <c r="AD69" s="207">
        <f>INDEX($A$61:$H$74,MATCH($L69,$B$61:$B$74,0),MATCH($AA$60,$A$61:$H$61,0))*고양시_Modal_split!F$3 * 0.01</f>
        <v>362.51049323242916</v>
      </c>
      <c r="AE69" s="207">
        <f>INDEX($A$61:$H$74,MATCH($L69,$B$61:$B$74,0),MATCH($AA$60,$A$61:$H$61,0))*고양시_Modal_split!G$3 * 0.01</f>
        <v>36.369645994965623</v>
      </c>
      <c r="AF69" s="207">
        <f>INDEX($A$61:$H$74,MATCH($L69,$B$61:$B$74,0),MATCH($AA$60,$A$61:$H$61,0))*고양시_Modal_split!H$3 * 0.01</f>
        <v>0.39532223907571334</v>
      </c>
      <c r="AG69" s="207">
        <f>INDEX($A$61:$H$74,MATCH($L69,$B$61:$B$74,0),MATCH($AA$60,$A$61:$H$61,0))*고양시_Modal_split!I$3 * 0.01</f>
        <v>109.8995824630483</v>
      </c>
      <c r="AH69" s="207">
        <f>INDEX($A$61:$H$74,MATCH($L69,$B$61:$B$74,0),MATCH($AA$60,$A$61:$H$61,0))*고양시_Modal_split!J$3 * 0.01</f>
        <v>1203.3608957464714</v>
      </c>
      <c r="AI69" s="207">
        <f>INDEX($A$61:$H$74,MATCH($L69,$B$61:$B$74,0),MATCH($AA$60,$A$61:$H$61,0))*고양시_Modal_split!K$3 * 0.01</f>
        <v>5.9298335861356994</v>
      </c>
      <c r="AJ69" s="207">
        <f>INDEX($A$61:$H$74,MATCH($L69,$B$61:$B$74,0),MATCH($AA$60,$A$61:$H$61,0))*고양시_Modal_split!L$3 * 0.01</f>
        <v>119.38731620086543</v>
      </c>
      <c r="AK69" s="207">
        <f>INDEX($A$61:$H$74,MATCH($L69,$B$61:$B$74,0),MATCH($AA$60,$A$61:$H$61,0))*고양시_Modal_split!M$3 * 0.01</f>
        <v>9.0924114987414058</v>
      </c>
      <c r="AL69" s="207">
        <f>INDEX($A$61:$H$74,MATCH($L69,$B$61:$B$74,0),MATCH($AA$60,$A$61:$H$61,0))*고양시_Modal_split!N$3 * 0.01</f>
        <v>3.9532223907571336</v>
      </c>
      <c r="AM69" s="207">
        <f>INDEX($A$61:$H$74,MATCH($L69,$B$61:$B$74,0),MATCH($AA$60,$A$61:$H$61,0))*고양시_Modal_split!O$3 * 0.01</f>
        <v>7.115800303362839</v>
      </c>
      <c r="AN69" s="207">
        <f>INDEX($A$61:$H$74,MATCH($L69,$B$61:$B$74,0),MATCH($AA$60,$A$61:$H$61,0))*고양시_Modal_split!P$3 * 0.01</f>
        <v>3953.2223907571333</v>
      </c>
      <c r="AO69" s="303">
        <f>INDEX($A$61:$H$74,MATCH($L69,$B$61:$B$74,0),MATCH($AO$60,$A$61:$H$61,0))*고양시_Modal_split!C$3 * 0.01</f>
        <v>0.49063833939177465</v>
      </c>
      <c r="AP69" s="303">
        <f>INDEX($A$61:$H$74,MATCH($L69,$B$61:$B$74,0),MATCH($AO$60,$A$61:$H$61,0))*고양시_Modal_split!D$3 * 0.01</f>
        <v>82.409718219982736</v>
      </c>
      <c r="AQ69" s="303">
        <f>INDEX($A$61:$H$74,MATCH($L69,$B$61:$B$74,0),MATCH($AO$60,$A$61:$H$61,0))*고양시_Modal_split!E$3 * 0.01</f>
        <v>9.9704719683542784</v>
      </c>
      <c r="AR69" s="303">
        <f>INDEX($A$61:$H$74,MATCH($L69,$B$61:$B$74,0),MATCH($AO$60,$A$61:$H$61,0))*고양시_Modal_split!F$3 * 0.01</f>
        <v>16.068405615080621</v>
      </c>
      <c r="AS69" s="303">
        <f>INDEX($A$61:$H$74,MATCH($L69,$B$61:$B$74,0),MATCH($AO$60,$A$61:$H$61,0))*고양시_Modal_split!G$3 * 0.01</f>
        <v>1.6120974008586881</v>
      </c>
      <c r="AT69" s="303">
        <f>INDEX($A$61:$H$74,MATCH($L69,$B$61:$B$74,0),MATCH($AO$60,$A$61:$H$61,0))*고양시_Modal_split!H$3 * 0.01</f>
        <v>1.7522797835420524E-2</v>
      </c>
      <c r="AU69" s="303">
        <f>INDEX($A$61:$H$74,MATCH($L69,$B$61:$B$74,0),MATCH($AO$60,$A$61:$H$61,0))*고양시_Modal_split!I$3 * 0.01</f>
        <v>4.8713377982469055</v>
      </c>
      <c r="AV69" s="303">
        <f>INDEX($A$61:$H$74,MATCH($L69,$B$61:$B$74,0),MATCH($AO$60,$A$61:$H$61,0))*고양시_Modal_split!J$3 * 0.01</f>
        <v>53.339396611020085</v>
      </c>
      <c r="AW69" s="303">
        <f>INDEX($A$61:$H$74,MATCH($L69,$B$61:$B$74,0),MATCH($AO$60,$A$61:$H$61,0))*고양시_Modal_split!K$3 * 0.01</f>
        <v>0.26284196753130784</v>
      </c>
      <c r="AX69" s="303">
        <f>INDEX($A$61:$H$74,MATCH($L69,$B$61:$B$74,0),MATCH($AO$60,$A$61:$H$61,0))*고양시_Modal_split!L$3 * 0.01</f>
        <v>5.2918849462969995</v>
      </c>
      <c r="AY69" s="303">
        <f>INDEX($A$61:$H$74,MATCH($L69,$B$61:$B$74,0),MATCH($AO$60,$A$61:$H$61,0))*고양시_Modal_split!M$3 * 0.01</f>
        <v>0.40302435021467203</v>
      </c>
      <c r="AZ69" s="303">
        <f>INDEX($A$61:$H$74,MATCH($L69,$B$61:$B$74,0),MATCH($AO$60,$A$61:$H$61,0))*고양시_Modal_split!N$3 * 0.01</f>
        <v>0.17522797835420525</v>
      </c>
      <c r="BA69" s="207">
        <f>INDEX($A$61:$H$74,MATCH($L69,$B$61:$B$74,0),MATCH($AO$60,$A$61:$H$61,0))*고양시_Modal_split!O$3 * 0.01</f>
        <v>0.31541036103756948</v>
      </c>
      <c r="BB69" s="207">
        <f>INDEX($A$61:$H$74,MATCH($L69,$B$61:$B$74,0),MATCH($AO$60,$A$61:$H$61,0))*고양시_Modal_split!P$3 * 0.01</f>
        <v>175.22797835420528</v>
      </c>
      <c r="BC69" s="207">
        <f>INDEX($A$61:$H$74,MATCH($L69,$B$61:$B$74,0),MATCH($BC$60,$A$61:$H$61,0))*고양시_Modal_split!C$3 * 0.01</f>
        <v>1.3305446491980279E-3</v>
      </c>
      <c r="BD69" s="207">
        <f>INDEX($A$61:$H$74,MATCH($L69,$B$61:$B$74,0),MATCH($BC$60,$A$61:$H$61,0))*고양시_Modal_split!D$3 * 0.01</f>
        <v>0.22348398161351168</v>
      </c>
      <c r="BE69" s="207">
        <f>INDEX($A$61:$H$74,MATCH($L69,$B$61:$B$74,0),MATCH($BC$60,$A$61:$H$61,0))*고양시_Modal_split!E$3 * 0.01</f>
        <v>2.7038568049774211E-2</v>
      </c>
      <c r="BF69" s="207">
        <f>INDEX($A$61:$H$74,MATCH($L69,$B$61:$B$74,0),MATCH($BC$60,$A$61:$H$61,0))*고양시_Modal_split!F$3 * 0.01</f>
        <v>4.3575337261235421E-2</v>
      </c>
      <c r="BG69" s="207">
        <f>INDEX($A$61:$H$74,MATCH($L69,$B$61:$B$74,0),MATCH($BC$60,$A$61:$H$61,0))*고양시_Modal_split!G$3 * 0.01</f>
        <v>4.3717895616506635E-3</v>
      </c>
      <c r="BH69" s="207">
        <f>INDEX($A$61:$H$74,MATCH($L69,$B$61:$B$74,0),MATCH($BC$60,$A$61:$H$61,0))*고양시_Modal_split!H$3 * 0.01</f>
        <v>4.7519451757072435E-5</v>
      </c>
      <c r="BI69" s="207">
        <f>INDEX($A$61:$H$74,MATCH($L69,$B$61:$B$74,0),MATCH($BC$60,$A$61:$H$61,0))*고양시_Modal_split!I$3 * 0.01</f>
        <v>1.3210407588466136E-2</v>
      </c>
      <c r="BJ69" s="207">
        <f>INDEX($A$61:$H$74,MATCH($L69,$B$61:$B$74,0),MATCH($BC$60,$A$61:$H$61,0))*고양시_Modal_split!J$3 * 0.01</f>
        <v>0.14464921114852849</v>
      </c>
      <c r="BK69" s="207">
        <f>INDEX($A$61:$H$74,MATCH($L69,$B$61:$B$74,0),MATCH($BC$60,$A$61:$H$61,0))*고양시_Modal_split!K$3 * 0.01</f>
        <v>7.1279177635608646E-4</v>
      </c>
      <c r="BL69" s="207">
        <f>INDEX($A$61:$H$74,MATCH($L69,$B$61:$B$74,0),MATCH($BC$60,$A$61:$H$61,0))*고양시_Modal_split!L$3 * 0.01</f>
        <v>1.4350874430635875E-2</v>
      </c>
      <c r="BM69" s="207">
        <f>INDEX($A$61:$H$74,MATCH($L69,$B$61:$B$74,0),MATCH($BC$60,$A$61:$H$61,0))*고양시_Modal_split!M$3 * 0.01</f>
        <v>1.0929473904126659E-3</v>
      </c>
      <c r="BN69" s="207">
        <f>INDEX($A$61:$H$74,MATCH($L69,$B$61:$B$74,0),MATCH($BC$60,$A$61:$H$61,0))*고양시_Modal_split!N$3 * 0.01</f>
        <v>4.7519451757072436E-4</v>
      </c>
      <c r="BO69" s="207">
        <f>INDEX($A$61:$H$74,MATCH($L69,$B$61:$B$74,0),MATCH($BC$60,$A$61:$H$61,0))*고양시_Modal_split!O$3 * 0.01</f>
        <v>8.5535013162730384E-4</v>
      </c>
      <c r="BP69" s="207">
        <f>INDEX($A$61:$H$74,MATCH($L69,$B$61:$B$74,0),MATCH($BC$60,$A$61:$H$61,0))*고양시_Modal_split!P$3 * 0.01</f>
        <v>0.47519451757072434</v>
      </c>
      <c r="BQ69" s="207">
        <f>INDEX($A$61:$H$74,MATCH($L69,$B$61:$B$74,0),MATCH($BQ$60,$A$61:$H$61,0))*고양시_Modal_split!C$3 * 0.01</f>
        <v>3.7698765060610907E-3</v>
      </c>
      <c r="BR69" s="207">
        <f>INDEX($A$61:$H$74,MATCH($L69,$B$61:$B$74,0),MATCH($BQ$60,$A$61:$H$61,0))*고양시_Modal_split!D$3 * 0.01</f>
        <v>0.63320461457161825</v>
      </c>
      <c r="BS69" s="207">
        <f>INDEX($A$61:$H$74,MATCH($L69,$B$61:$B$74,0),MATCH($BQ$60,$A$61:$H$61,0))*고양시_Modal_split!E$3 * 0.01</f>
        <v>7.6609276141027166E-2</v>
      </c>
      <c r="BT69" s="207">
        <f>INDEX($A$61:$H$74,MATCH($L69,$B$61:$B$74,0),MATCH($BQ$60,$A$61:$H$61,0))*고양시_Modal_split!F$3 * 0.01</f>
        <v>0.12346345557350073</v>
      </c>
      <c r="BU69" s="207">
        <f>INDEX($A$61:$H$74,MATCH($L69,$B$61:$B$74,0),MATCH($BQ$60,$A$61:$H$61,0))*고양시_Modal_split!G$3 * 0.01</f>
        <v>1.2386737091343586E-2</v>
      </c>
      <c r="BV69" s="207">
        <f>INDEX($A$61:$H$74,MATCH($L69,$B$61:$B$74,0),MATCH($BQ$60,$A$61:$H$61,0))*고양시_Modal_split!H$3 * 0.01</f>
        <v>1.3463844664503898E-4</v>
      </c>
      <c r="BW69" s="207">
        <f>INDEX($A$61:$H$74,MATCH($L69,$B$61:$B$74,0),MATCH($BQ$60,$A$61:$H$61,0))*고양시_Modal_split!I$3 * 0.01</f>
        <v>3.7429488167320828E-2</v>
      </c>
      <c r="BX69" s="207">
        <f>INDEX($A$61:$H$74,MATCH($L69,$B$61:$B$74,0),MATCH($BQ$60,$A$61:$H$61,0))*고양시_Modal_split!J$3 * 0.01</f>
        <v>0.40983943158749869</v>
      </c>
      <c r="BY69" s="207">
        <f>INDEX($A$61:$H$74,MATCH($L69,$B$61:$B$74,0),MATCH($BQ$60,$A$61:$H$61,0))*고양시_Modal_split!K$3 * 0.01</f>
        <v>2.0195766996755848E-3</v>
      </c>
      <c r="BZ69" s="207">
        <f>INDEX($A$61:$H$74,MATCH($L69,$B$61:$B$74,0),MATCH($BQ$60,$A$61:$H$61,0))*고양시_Modal_split!L$3 * 0.01</f>
        <v>4.066081088680177E-2</v>
      </c>
      <c r="CA69" s="207">
        <f>INDEX($A$61:$H$74,MATCH($L69,$B$61:$B$74,0),MATCH($BQ$60,$A$61:$H$61,0))*고양시_Modal_split!M$3 * 0.01</f>
        <v>3.0966842728358964E-3</v>
      </c>
      <c r="CB69" s="207">
        <f>INDEX($A$61:$H$74,MATCH($L69,$B$61:$B$74,0),MATCH($BQ$60,$A$61:$H$61,0))*고양시_Modal_split!N$3 * 0.01</f>
        <v>1.3463844664503895E-3</v>
      </c>
      <c r="CC69" s="207">
        <f>INDEX($A$61:$H$74,MATCH($L69,$B$61:$B$74,0),MATCH($BQ$60,$A$61:$H$61,0))*고양시_Modal_split!O$3 * 0.01</f>
        <v>2.4234920396107012E-3</v>
      </c>
      <c r="CD69" s="207">
        <f>INDEX($A$61:$H$74,MATCH($L69,$B$61:$B$74,0),MATCH($BQ$60,$A$61:$H$61,0))*고양시_Modal_split!P$3 * 0.01</f>
        <v>1.3463844664503897</v>
      </c>
      <c r="CE69" s="304">
        <f t="shared" si="31"/>
        <v>12.988222471867365</v>
      </c>
      <c r="CF69" s="304">
        <f t="shared" si="13"/>
        <v>2181.5575101854365</v>
      </c>
      <c r="CG69" s="304">
        <f t="shared" si="14"/>
        <v>263.93923523187613</v>
      </c>
      <c r="CH69" s="304">
        <f t="shared" si="15"/>
        <v>425.36428595365635</v>
      </c>
      <c r="CI69" s="304">
        <f t="shared" si="16"/>
        <v>42.675588121849913</v>
      </c>
      <c r="CJ69" s="304">
        <f t="shared" si="17"/>
        <v>0.46386508828097739</v>
      </c>
      <c r="CK69" s="304">
        <f t="shared" si="18"/>
        <v>128.95449454211175</v>
      </c>
      <c r="CL69" s="304">
        <f t="shared" si="19"/>
        <v>1412.0053287272951</v>
      </c>
      <c r="CM69" s="304">
        <f t="shared" si="20"/>
        <v>6.9579763242146608</v>
      </c>
      <c r="CN69" s="304">
        <f t="shared" si="21"/>
        <v>140.08725666085519</v>
      </c>
      <c r="CO69" s="304">
        <f t="shared" si="22"/>
        <v>10.668897030462478</v>
      </c>
      <c r="CP69" s="304">
        <f t="shared" si="23"/>
        <v>4.6386508828097748</v>
      </c>
      <c r="CQ69" s="304">
        <f t="shared" si="24"/>
        <v>8.349571589057593</v>
      </c>
      <c r="CR69" s="304">
        <f t="shared" si="25"/>
        <v>4638.6508828097731</v>
      </c>
      <c r="CS69" s="305">
        <f t="shared" si="32"/>
        <v>0</v>
      </c>
      <c r="CV69" s="267" t="s">
        <v>168</v>
      </c>
      <c r="CW69" s="267" t="s">
        <v>168</v>
      </c>
      <c r="CX69" s="267">
        <f>INDEX($M$60:$Z$74,MATCH($CW69,$L$60:$L$74,0),MATCH(CX$61,$M$61:$Z$61,0))/INDEX(고양시_재차인원!$D$4:$H$35,MATCH("고양시",고양시_재차인원!$B$4:$B$35,0),MATCH($CX$60,고양시_재차인원!$D$4:$H$4,0))</f>
        <v>213.47376160374017</v>
      </c>
      <c r="CY69" s="267">
        <f>INDEX($M$60:$Z$74,MATCH($CW69,$L$60:$L$74,0),MATCH(CY$61,$M$61:$Z$61,0))/INDEX(고양시_재차인원!$K$4:$O$20,MATCH("경기도",고양시_재차인원!$K$4:$K$20,0),MATCH($CY$61,고양시_재차인원!$K$4:$O$4,0))</f>
        <v>1.7658177655936584E-3</v>
      </c>
      <c r="CZ69" s="267">
        <f>INDEX($M$60:$Z$74,MATCH($CW69,$L$60:$L$74,0),MATCH(CZ$61,$M$61:$Z$61,0))/INDEX(고양시_재차인원!$K$4:$O$20,MATCH("경기도",고양시_재차인원!$K$4:$K$20,0),MATCH($CZ$61,고양시_재차인원!$K$4:$O$4,0))</f>
        <v>0.490897338835037</v>
      </c>
      <c r="DA69" s="267">
        <f>INDEX($M$60:$Z$74,MATCH($CW69,$L$60:$L$74,0),MATCH(DA$61,$M$61:$Z$61,0))/INDEX(고양시_재차인원!$D$4:$H$35,MATCH("고양시",고양시_재차인원!$B$4:$B$35,0),MATCH($CX$60,고양시_재차인원!$D$4:$H$4,0))</f>
        <v>13.708074846763667</v>
      </c>
      <c r="DB69" s="267">
        <f>INDEX($AA$60:$AN$74,MATCH($CW69,$L$60:$L$74,0),MATCH(DB$61,$AA$61:$AN$61,0))/INDEX(고양시_재차인원!$D$4:$H$35,MATCH("고양시",고양시_재차인원!$B$4:$B$35,0),MATCH($DB$60,고양시_재차인원!$D$4:$H$4,0))</f>
        <v>1318.5819080660142</v>
      </c>
      <c r="DC69" s="267">
        <f>INDEX($AA$60:$AN$74,MATCH($CW69,$L$60:$L$74,0),MATCH(DC$61,$AA$61:$AN$61,0))/INDEX(고양시_재차인원!$K$4:$O$20,MATCH("경기도",고양시_재차인원!$K$4:$K$20,0),MATCH($DC$61,고양시_재차인원!$K$4:$O$4,0))</f>
        <v>1.3731234424304042E-2</v>
      </c>
      <c r="DD69" s="267">
        <f>INDEX($AA$60:$AN$74,MATCH($CW69,$L$60:$L$74,0),MATCH(DD$61,$AA$61:$AN$61,0))/INDEX(고양시_재차인원!$K$4:$O$20,MATCH("경기도",고양시_재차인원!$K$4:$K$20,0),MATCH($DD$61,고양시_재차인원!$K$4:$O$4,0))</f>
        <v>3.8172831699565233</v>
      </c>
      <c r="DE69" s="267">
        <f>INDEX($AA$60:$AN$74,MATCH($CW69,$L$60:$L$74,0),MATCH(DE$61,$AA$61:$AN$61,0))/INDEX(고양시_재차인원!$D$4:$H$35,MATCH("고양시",고양시_재차인원!$B$4:$B$35,0),MATCH($DB$60,고양시_재차인원!$D$4:$H$4,0))</f>
        <v>84.671855461606697</v>
      </c>
      <c r="DF69" s="267">
        <f>INDEX($AO$60:$BB$74,MATCH($CW69,$L$60:$L$74,0),MATCH(DF$61,$AO$61:$BB$61,0))/INDEX(고양시_재차인원!$D$4:$H$35,MATCH("고양시",고양시_재차인원!$B$4:$B$35,0),MATCH($DF$60,고양시_재차인원!$D$4:$H$4,0))</f>
        <v>63.392090938448256</v>
      </c>
      <c r="DG69" s="267">
        <f>INDEX($AO$60:$BB$74,MATCH($CW69,$L$60:$L$74,0),MATCH(DG$61,$AO$61:$BB$61,0))/INDEX(고양시_재차인원!$K$4:$O$20,MATCH("경기도",고양시_재차인원!$K$4:$K$20,0),MATCH($DG$61,고양시_재차인원!$K$4:$O$4,0))</f>
        <v>6.0864181435986539E-4</v>
      </c>
      <c r="DH69" s="267">
        <f>INDEX($AO$60:$BB$74,MATCH($CW69,$L$60:$L$74,0),MATCH(DH$61,$AO$61:$BB$61,0))/INDEX(고양시_재차인원!$K$4:$O$20,MATCH("경기도",고양시_재차인원!$K$4:$K$20,0),MATCH($DH$61,고양시_재차인원!$K$4:$O$4,0))</f>
        <v>0.16920242439204258</v>
      </c>
      <c r="DI69" s="267">
        <f>INDEX($AO$60:$BB$74,MATCH($CW69,$L$60:$L$74,0),MATCH(DI$61,$AO$61:$BB$61,0))/INDEX(고양시_재차인원!$D$4:$H$35,MATCH("고양시",고양시_재차인원!$B$4:$B$35,0),MATCH($DF$60,고양시_재차인원!$D$4:$H$4,0))</f>
        <v>4.0706807279207684</v>
      </c>
      <c r="DJ69" s="267">
        <f>INDEX($BC$60:$BP$74,MATCH($CW69,$L$60:$L$74,0),MATCH(DJ$61,$BC$61:$BP$61,0))/INDEX(고양시_재차인원!$D$4:$H$35,MATCH("고양시",고양시_재차인원!$B$4:$B$35,0),MATCH($DJ$60,고양시_재차인원!$D$4:$H$4,0))</f>
        <v>0.16432645706875859</v>
      </c>
      <c r="DK69" s="267">
        <f>INDEX($BC$60:$BP$74,MATCH($CW69,$L$60:$L$74,0),MATCH(DK$61,$BC$61:$BP$61,0))/INDEX(고양시_재차인원!$K$4:$O$20,MATCH("경기도",고양시_재차인원!$K$4:$K$20,0),MATCH($DK$61,고양시_재차인원!$K$4:$O$4,0))</f>
        <v>1.6505540728403068E-6</v>
      </c>
      <c r="DL69" s="267">
        <f>INDEX($BC$60:$BP$74,MATCH($CW69,$L$60:$L$74,0),MATCH(DL$61,$BC$61:$BP$61,0))/INDEX(고양시_재차인원!$K$4:$O$20,MATCH("경기도",고양시_재차인원!$K$4:$K$20,0),MATCH($DL$61,고양시_재차인원!$K$4:$O$4,0))</f>
        <v>4.588540322496053E-4</v>
      </c>
      <c r="DM69" s="267">
        <f>INDEX($BC$60:$BP$74,MATCH($CW69,$L$60:$L$74,0),MATCH(DM$61,$BC$61:$BP$61,0))/INDEX(고양시_재차인원!$D$4:$H$35,MATCH("고양시",고양시_재차인원!$B$4:$B$35,0),MATCH($DJ$60,고양시_재차인원!$D$4:$H$4,0))</f>
        <v>1.0552113551938143E-2</v>
      </c>
      <c r="DN69" s="267">
        <f>INDEX($BQ$60:$CD$74,MATCH($CW69,$L$60:$L$74,0),MATCH(DN$61,$BQ$61:$CD$61,0))/INDEX(고양시_재차인원!$D$4:$H$35,MATCH("고양시",고양시_재차인원!$B$4:$B$35,0),MATCH($DN$60,고양시_재차인원!$D$4:$H$4,0))</f>
        <v>0.5025433448981097</v>
      </c>
      <c r="DO69" s="267">
        <f>INDEX($BQ$60:$CD$74,MATCH($CW69,$L$60:$L$74,0),MATCH(DO$61,$BQ$61:$CD$61,0))/INDEX(고양시_재차인원!$K$4:$O$20,MATCH("경기도",고양시_재차인원!$K$4:$K$20,0),MATCH($DO$61,고양시_재차인원!$K$4:$O$4,0))</f>
        <v>4.6765698730475504E-6</v>
      </c>
      <c r="DP69" s="267">
        <f>INDEX($BQ$60:$CD$74,MATCH($CW69,$L$60:$L$74,0),MATCH(DP$61,$BQ$61:$CD$61,0))/INDEX(고양시_재차인원!$K$4:$O$20,MATCH("경기도",고양시_재차인원!$K$4:$K$20,0),MATCH($DP$61,고양시_재차인원!$K$4:$O$4,0))</f>
        <v>1.3000864247072188E-3</v>
      </c>
      <c r="DQ69" s="267">
        <f>INDEX($BQ$60:$CD$74,MATCH($CW69,$L$60:$L$74,0),MATCH(DQ$61,$BQ$61:$CD$61,0))/INDEX(고양시_재차인원!$D$4:$H$35,MATCH("고양시",고양시_재차인원!$B$4:$B$35,0),MATCH($DN$60,고양시_재차인원!$D$4:$H$4,0))</f>
        <v>3.2270484830795053E-2</v>
      </c>
      <c r="DR69" s="270">
        <f t="shared" si="33"/>
        <v>1596.1146304101696</v>
      </c>
      <c r="DS69" s="270">
        <f t="shared" si="26"/>
        <v>1.6112021128203455E-2</v>
      </c>
      <c r="DT69" s="270">
        <f t="shared" si="27"/>
        <v>4.4791418736405593</v>
      </c>
      <c r="DU69" s="270">
        <f t="shared" si="28"/>
        <v>102.49343363467386</v>
      </c>
      <c r="DW69" s="278" t="s">
        <v>168</v>
      </c>
      <c r="DX69" s="278" t="s">
        <v>168</v>
      </c>
      <c r="DY69" s="281">
        <f t="shared" si="41"/>
        <v>1698.6080640448436</v>
      </c>
      <c r="DZ69" s="281">
        <f t="shared" si="42"/>
        <v>4.495253894768763</v>
      </c>
      <c r="EB69" s="278" t="s">
        <v>47</v>
      </c>
      <c r="EC69" s="278" t="s">
        <v>47</v>
      </c>
      <c r="ED69" s="281">
        <f t="shared" ref="ED69:ED73" si="45">DY70</f>
        <v>258.21608574400102</v>
      </c>
      <c r="EE69" s="281">
        <f t="shared" si="44"/>
        <v>0.68335179238971377</v>
      </c>
      <c r="EK69" s="420" t="s">
        <v>168</v>
      </c>
      <c r="EL69" s="420" t="s">
        <v>168</v>
      </c>
      <c r="EM69" s="420" t="s">
        <v>79</v>
      </c>
      <c r="EN69" s="420">
        <v>36231.236499999999</v>
      </c>
      <c r="EO69" s="420">
        <v>0.21506476976864181</v>
      </c>
      <c r="EP69" s="421">
        <v>849008</v>
      </c>
      <c r="EQ69" s="422">
        <f t="shared" si="37"/>
        <v>354.89939578266524</v>
      </c>
      <c r="ER69" s="422">
        <f t="shared" si="38"/>
        <v>0.93921777772802839</v>
      </c>
      <c r="ES69">
        <v>0</v>
      </c>
      <c r="EU69" s="306" t="s">
        <v>168</v>
      </c>
      <c r="EV69" s="306" t="s">
        <v>168</v>
      </c>
      <c r="EW69" s="306" t="s">
        <v>79</v>
      </c>
      <c r="EX69" s="306">
        <v>36231.236499999999</v>
      </c>
      <c r="EY69" s="306">
        <v>0.21506476976864181</v>
      </c>
      <c r="EZ69" s="307">
        <v>849008</v>
      </c>
      <c r="FA69" s="308">
        <f t="shared" si="39"/>
        <v>354.89939578266524</v>
      </c>
      <c r="FB69" s="308">
        <f t="shared" si="30"/>
        <v>0.93921777772802839</v>
      </c>
      <c r="FD69" s="101"/>
      <c r="FE69" s="101"/>
      <c r="FF69" s="101"/>
      <c r="FG69" s="101"/>
      <c r="FH69" s="101"/>
      <c r="FI69" s="374"/>
      <c r="FJ69" s="404"/>
      <c r="FK69" s="404"/>
    </row>
    <row r="70" spans="1:167" ht="25">
      <c r="A70" s="205" t="s">
        <v>47</v>
      </c>
      <c r="B70" s="205" t="s">
        <v>47</v>
      </c>
      <c r="C70" s="201">
        <f>$L37*KTDB_TripDistribution_2035!L$12</f>
        <v>77.281876481893065</v>
      </c>
      <c r="D70" s="201">
        <f>$L37*KTDB_TripDistribution_2035!M$12</f>
        <v>600.95417737867274</v>
      </c>
      <c r="E70" s="201">
        <f>$L37*KTDB_TripDistribution_2035!N$12</f>
        <v>26.637506109392227</v>
      </c>
      <c r="F70" s="201">
        <f>$L37*KTDB_TripDistribution_2035!O$12</f>
        <v>7.223730470343627E-2</v>
      </c>
      <c r="G70" s="201">
        <f>$L37*KTDB_TripDistribution_2035!P$12</f>
        <v>0.2046723633264034</v>
      </c>
      <c r="H70" s="201">
        <f>$L37*KTDB_TripDistribution_2035!Q$12</f>
        <v>705.15046963798784</v>
      </c>
      <c r="I70" s="56"/>
      <c r="J70" s="56"/>
      <c r="K70" s="206" t="s">
        <v>47</v>
      </c>
      <c r="L70" s="206" t="s">
        <v>47</v>
      </c>
      <c r="M70" s="206">
        <f>INDEX($A$61:$H$74,MATCH($L70,$B$61:$B$74,0),MATCH($M$60,$A$61:$H$61,0))*고양시_Modal_split!C$3 * 0.01</f>
        <v>0.21638925414930058</v>
      </c>
      <c r="N70" s="206">
        <f>INDEX($A$61:$H$74,MATCH($L70,$B$61:$B$74,0),MATCH($M$60,$A$61:$H$61,0))*고양시_Modal_split!D$3 * 0.01</f>
        <v>36.345666509434309</v>
      </c>
      <c r="O70" s="206">
        <f>INDEX($A$61:$H$74,MATCH($L70,$B$61:$B$74,0),MATCH($M$60,$A$61:$H$61,0))*고양시_Modal_split!E$3 * 0.01</f>
        <v>4.3973387718197152</v>
      </c>
      <c r="P70" s="206">
        <f>INDEX($A$61:$H$74,MATCH($L70,$B$61:$B$74,0),MATCH($M$60,$A$61:$H$61,0))*고양시_Modal_split!F$3 * 0.01</f>
        <v>7.0867480733895931</v>
      </c>
      <c r="Q70" s="206">
        <f>INDEX($A$61:$H$74,MATCH($L70,$B$61:$B$74,0),MATCH($M$60,$A$61:$H$61,0))*고양시_Modal_split!G$3 * 0.01</f>
        <v>0.71099326363341619</v>
      </c>
      <c r="R70" s="206">
        <f>INDEX($A$61:$H$74,MATCH($L70,$B$61:$B$74,0),MATCH($M$60,$A$61:$H$61,0))*고양시_Modal_split!H$3 * 0.01</f>
        <v>7.7281876481893061E-3</v>
      </c>
      <c r="S70" s="206">
        <f>INDEX($A$61:$H$74,MATCH($L70,$B$61:$B$74,0),MATCH($M$60,$A$61:$H$61,0))*고양시_Modal_split!I$3 * 0.01</f>
        <v>2.1484361661966269</v>
      </c>
      <c r="T70" s="206">
        <f>INDEX($A$61:$H$74,MATCH($L70,$B$61:$B$74,0),MATCH($M$60,$A$61:$H$61,0))*고양시_Modal_split!J$3 * 0.01</f>
        <v>23.524603201088247</v>
      </c>
      <c r="U70" s="206">
        <f>INDEX($A$61:$H$74,MATCH($L70,$B$61:$B$74,0),MATCH($M$60,$A$61:$H$61,0))*고양시_Modal_split!K$3 * 0.01</f>
        <v>0.11592281472283959</v>
      </c>
      <c r="V70" s="206">
        <f>INDEX($A$61:$H$74,MATCH($L70,$B$61:$B$74,0),MATCH($M$60,$A$61:$H$61,0))*고양시_Modal_split!L$3 * 0.01</f>
        <v>2.3339126697531705</v>
      </c>
      <c r="W70" s="206">
        <f>INDEX($A$61:$H$74,MATCH($L70,$B$61:$B$74,0),MATCH($M$60,$A$61:$H$61,0))*고양시_Modal_split!M$3 * 0.01</f>
        <v>0.17774831590835405</v>
      </c>
      <c r="X70" s="206">
        <f>INDEX($A$61:$H$74,MATCH($L70,$B$61:$B$74,0),MATCH($M$60,$A$61:$H$61,0))*고양시_Modal_split!N$3 * 0.01</f>
        <v>7.7281876481893066E-2</v>
      </c>
      <c r="Y70" s="206">
        <f>INDEX($A$61:$H$74,MATCH($L70,$B$61:$B$74,0),MATCH($M$60,$A$61:$H$61,0))*고양시_Modal_split!O$3 * 0.01</f>
        <v>0.13910737766740752</v>
      </c>
      <c r="Z70" s="209">
        <f>INDEX($A$61:$H$74,MATCH($L70,$B$61:$B$74,0),MATCH($M$60,$A$61:$H$61,0))*고양시_Modal_split!P$3 * 0.01</f>
        <v>77.281876481893065</v>
      </c>
      <c r="AA70" s="207">
        <f>INDEX($A$61:$H$74,MATCH($L70,$B$61:$B$74,0),MATCH($AA$60,$A$61:$H$61,0))*고양시_Modal_split!C$3 * 0.01</f>
        <v>1.6826716966602835</v>
      </c>
      <c r="AB70" s="207">
        <f>INDEX($A$61:$H$74,MATCH($L70,$B$61:$B$74,0),MATCH($AA$60,$A$61:$H$61,0))*고양시_Modal_split!D$3 * 0.01</f>
        <v>282.6287496211898</v>
      </c>
      <c r="AC70" s="207">
        <f>INDEX($A$61:$H$74,MATCH($L70,$B$61:$B$74,0),MATCH($AA$60,$A$61:$H$61,0))*고양시_Modal_split!E$3 * 0.01</f>
        <v>34.194292692846474</v>
      </c>
      <c r="AD70" s="207">
        <f>INDEX($A$61:$H$74,MATCH($L70,$B$61:$B$74,0),MATCH($AA$60,$A$61:$H$61,0))*고양시_Modal_split!F$3 * 0.01</f>
        <v>55.107498065624284</v>
      </c>
      <c r="AE70" s="207">
        <f>INDEX($A$61:$H$74,MATCH($L70,$B$61:$B$74,0),MATCH($AA$60,$A$61:$H$61,0))*고양시_Modal_split!G$3 * 0.01</f>
        <v>5.5287784318837883</v>
      </c>
      <c r="AF70" s="207">
        <f>INDEX($A$61:$H$74,MATCH($L70,$B$61:$B$74,0),MATCH($AA$60,$A$61:$H$61,0))*고양시_Modal_split!H$3 * 0.01</f>
        <v>6.0095417737867279E-2</v>
      </c>
      <c r="AG70" s="207">
        <f>INDEX($A$61:$H$74,MATCH($L70,$B$61:$B$74,0),MATCH($AA$60,$A$61:$H$61,0))*고양시_Modal_split!I$3 * 0.01</f>
        <v>16.706526131127099</v>
      </c>
      <c r="AH70" s="207">
        <f>INDEX($A$61:$H$74,MATCH($L70,$B$61:$B$74,0),MATCH($AA$60,$A$61:$H$61,0))*고양시_Modal_split!J$3 * 0.01</f>
        <v>182.93045159406799</v>
      </c>
      <c r="AI70" s="207">
        <f>INDEX($A$61:$H$74,MATCH($L70,$B$61:$B$74,0),MATCH($AA$60,$A$61:$H$61,0))*고양시_Modal_split!K$3 * 0.01</f>
        <v>0.90143126606800905</v>
      </c>
      <c r="AJ70" s="207">
        <f>INDEX($A$61:$H$74,MATCH($L70,$B$61:$B$74,0),MATCH($AA$60,$A$61:$H$61,0))*고양시_Modal_split!L$3 * 0.01</f>
        <v>18.148816156835917</v>
      </c>
      <c r="AK70" s="207">
        <f>INDEX($A$61:$H$74,MATCH($L70,$B$61:$B$74,0),MATCH($AA$60,$A$61:$H$61,0))*고양시_Modal_split!M$3 * 0.01</f>
        <v>1.3821946079709471</v>
      </c>
      <c r="AL70" s="207">
        <f>INDEX($A$61:$H$74,MATCH($L70,$B$61:$B$74,0),MATCH($AA$60,$A$61:$H$61,0))*고양시_Modal_split!N$3 * 0.01</f>
        <v>0.60095417737867285</v>
      </c>
      <c r="AM70" s="207">
        <f>INDEX($A$61:$H$74,MATCH($L70,$B$61:$B$74,0),MATCH($AA$60,$A$61:$H$61,0))*고양시_Modal_split!O$3 * 0.01</f>
        <v>1.0817175192816109</v>
      </c>
      <c r="AN70" s="207">
        <f>INDEX($A$61:$H$74,MATCH($L70,$B$61:$B$74,0),MATCH($AA$60,$A$61:$H$61,0))*고양시_Modal_split!P$3 * 0.01</f>
        <v>600.95417737867274</v>
      </c>
      <c r="AO70" s="303">
        <f>INDEX($A$61:$H$74,MATCH($L70,$B$61:$B$74,0),MATCH($AO$60,$A$61:$H$61,0))*고양시_Modal_split!C$3 * 0.01</f>
        <v>7.4585017106298224E-2</v>
      </c>
      <c r="AP70" s="303">
        <f>INDEX($A$61:$H$74,MATCH($L70,$B$61:$B$74,0),MATCH($AO$60,$A$61:$H$61,0))*고양시_Modal_split!D$3 * 0.01</f>
        <v>12.527619123247163</v>
      </c>
      <c r="AQ70" s="303">
        <f>INDEX($A$61:$H$74,MATCH($L70,$B$61:$B$74,0),MATCH($AO$60,$A$61:$H$61,0))*고양시_Modal_split!E$3 * 0.01</f>
        <v>1.5156740976244176</v>
      </c>
      <c r="AR70" s="303">
        <f>INDEX($A$61:$H$74,MATCH($L70,$B$61:$B$74,0),MATCH($AO$60,$A$61:$H$61,0))*고양시_Modal_split!F$3 * 0.01</f>
        <v>2.4426593102312673</v>
      </c>
      <c r="AS70" s="303">
        <f>INDEX($A$61:$H$74,MATCH($L70,$B$61:$B$74,0),MATCH($AO$60,$A$61:$H$61,0))*고양시_Modal_split!G$3 * 0.01</f>
        <v>0.24506505620640848</v>
      </c>
      <c r="AT70" s="303">
        <f>INDEX($A$61:$H$74,MATCH($L70,$B$61:$B$74,0),MATCH($AO$60,$A$61:$H$61,0))*고양시_Modal_split!H$3 * 0.01</f>
        <v>2.6637506109392227E-3</v>
      </c>
      <c r="AU70" s="303">
        <f>INDEX($A$61:$H$74,MATCH($L70,$B$61:$B$74,0),MATCH($AO$60,$A$61:$H$61,0))*고양시_Modal_split!I$3 * 0.01</f>
        <v>0.74052266984110393</v>
      </c>
      <c r="AV70" s="303">
        <f>INDEX($A$61:$H$74,MATCH($L70,$B$61:$B$74,0),MATCH($AO$60,$A$61:$H$61,0))*고양시_Modal_split!J$3 * 0.01</f>
        <v>8.108456859698995</v>
      </c>
      <c r="AW70" s="303">
        <f>INDEX($A$61:$H$74,MATCH($L70,$B$61:$B$74,0),MATCH($AO$60,$A$61:$H$61,0))*고양시_Modal_split!K$3 * 0.01</f>
        <v>3.9956259164088341E-2</v>
      </c>
      <c r="AX70" s="303">
        <f>INDEX($A$61:$H$74,MATCH($L70,$B$61:$B$74,0),MATCH($AO$60,$A$61:$H$61,0))*고양시_Modal_split!L$3 * 0.01</f>
        <v>0.80445268450364527</v>
      </c>
      <c r="AY70" s="303">
        <f>INDEX($A$61:$H$74,MATCH($L70,$B$61:$B$74,0),MATCH($AO$60,$A$61:$H$61,0))*고양시_Modal_split!M$3 * 0.01</f>
        <v>6.1266264051602119E-2</v>
      </c>
      <c r="AZ70" s="303">
        <f>INDEX($A$61:$H$74,MATCH($L70,$B$61:$B$74,0),MATCH($AO$60,$A$61:$H$61,0))*고양시_Modal_split!N$3 * 0.01</f>
        <v>2.663750610939223E-2</v>
      </c>
      <c r="BA70" s="207">
        <f>INDEX($A$61:$H$74,MATCH($L70,$B$61:$B$74,0),MATCH($AO$60,$A$61:$H$61,0))*고양시_Modal_split!O$3 * 0.01</f>
        <v>4.7947510996906008E-2</v>
      </c>
      <c r="BB70" s="207">
        <f>INDEX($A$61:$H$74,MATCH($L70,$B$61:$B$74,0),MATCH($AO$60,$A$61:$H$61,0))*고양시_Modal_split!P$3 * 0.01</f>
        <v>26.637506109392227</v>
      </c>
      <c r="BC70" s="207">
        <f>INDEX($A$61:$H$74,MATCH($L70,$B$61:$B$74,0),MATCH($BC$60,$A$61:$H$61,0))*고양시_Modal_split!C$3 * 0.01</f>
        <v>2.0226445316962155E-4</v>
      </c>
      <c r="BD70" s="207">
        <f>INDEX($A$61:$H$74,MATCH($L70,$B$61:$B$74,0),MATCH($BC$60,$A$61:$H$61,0))*고양시_Modal_split!D$3 * 0.01</f>
        <v>3.3973204402026079E-2</v>
      </c>
      <c r="BE70" s="207">
        <f>INDEX($A$61:$H$74,MATCH($L70,$B$61:$B$74,0),MATCH($BC$60,$A$61:$H$61,0))*고양시_Modal_split!E$3 * 0.01</f>
        <v>4.1103026376255233E-3</v>
      </c>
      <c r="BF70" s="207">
        <f>INDEX($A$61:$H$74,MATCH($L70,$B$61:$B$74,0),MATCH($BC$60,$A$61:$H$61,0))*고양시_Modal_split!F$3 * 0.01</f>
        <v>6.6241608413051059E-3</v>
      </c>
      <c r="BG70" s="207">
        <f>INDEX($A$61:$H$74,MATCH($L70,$B$61:$B$74,0),MATCH($BC$60,$A$61:$H$61,0))*고양시_Modal_split!G$3 * 0.01</f>
        <v>6.6458320327161368E-4</v>
      </c>
      <c r="BH70" s="207">
        <f>INDEX($A$61:$H$74,MATCH($L70,$B$61:$B$74,0),MATCH($BC$60,$A$61:$H$61,0))*고양시_Modal_split!H$3 * 0.01</f>
        <v>7.2237304703436275E-6</v>
      </c>
      <c r="BI70" s="207">
        <f>INDEX($A$61:$H$74,MATCH($L70,$B$61:$B$74,0),MATCH($BC$60,$A$61:$H$61,0))*고양시_Modal_split!I$3 * 0.01</f>
        <v>2.0081970707555284E-3</v>
      </c>
      <c r="BJ70" s="207">
        <f>INDEX($A$61:$H$74,MATCH($L70,$B$61:$B$74,0),MATCH($BC$60,$A$61:$H$61,0))*고양시_Modal_split!J$3 * 0.01</f>
        <v>2.1989035551725999E-2</v>
      </c>
      <c r="BK70" s="207">
        <f>INDEX($A$61:$H$74,MATCH($L70,$B$61:$B$74,0),MATCH($BC$60,$A$61:$H$61,0))*고양시_Modal_split!K$3 * 0.01</f>
        <v>1.0835595705515439E-4</v>
      </c>
      <c r="BL70" s="207">
        <f>INDEX($A$61:$H$74,MATCH($L70,$B$61:$B$74,0),MATCH($BC$60,$A$61:$H$61,0))*고양시_Modal_split!L$3 * 0.01</f>
        <v>2.1815666020437753E-3</v>
      </c>
      <c r="BM70" s="207">
        <f>INDEX($A$61:$H$74,MATCH($L70,$B$61:$B$74,0),MATCH($BC$60,$A$61:$H$61,0))*고양시_Modal_split!M$3 * 0.01</f>
        <v>1.6614580081790342E-4</v>
      </c>
      <c r="BN70" s="207">
        <f>INDEX($A$61:$H$74,MATCH($L70,$B$61:$B$74,0),MATCH($BC$60,$A$61:$H$61,0))*고양시_Modal_split!N$3 * 0.01</f>
        <v>7.2237304703436276E-5</v>
      </c>
      <c r="BO70" s="207">
        <f>INDEX($A$61:$H$74,MATCH($L70,$B$61:$B$74,0),MATCH($BC$60,$A$61:$H$61,0))*고양시_Modal_split!O$3 * 0.01</f>
        <v>1.3002714846618526E-4</v>
      </c>
      <c r="BP70" s="207">
        <f>INDEX($A$61:$H$74,MATCH($L70,$B$61:$B$74,0),MATCH($BC$60,$A$61:$H$61,0))*고양시_Modal_split!P$3 * 0.01</f>
        <v>7.223730470343627E-2</v>
      </c>
      <c r="BQ70" s="207">
        <f>INDEX($A$61:$H$74,MATCH($L70,$B$61:$B$74,0),MATCH($BQ$60,$A$61:$H$61,0))*고양시_Modal_split!C$3 * 0.01</f>
        <v>5.7308261731392951E-4</v>
      </c>
      <c r="BR70" s="207">
        <f>INDEX($A$61:$H$74,MATCH($L70,$B$61:$B$74,0),MATCH($BQ$60,$A$61:$H$61,0))*고양시_Modal_split!D$3 * 0.01</f>
        <v>9.6257412472407516E-2</v>
      </c>
      <c r="BS70" s="207">
        <f>INDEX($A$61:$H$74,MATCH($L70,$B$61:$B$74,0),MATCH($BQ$60,$A$61:$H$61,0))*고양시_Modal_split!E$3 * 0.01</f>
        <v>1.1645857473272353E-2</v>
      </c>
      <c r="BT70" s="207">
        <f>INDEX($A$61:$H$74,MATCH($L70,$B$61:$B$74,0),MATCH($BQ$60,$A$61:$H$61,0))*고양시_Modal_split!F$3 * 0.01</f>
        <v>1.8768455717031191E-2</v>
      </c>
      <c r="BU70" s="207">
        <f>INDEX($A$61:$H$74,MATCH($L70,$B$61:$B$74,0),MATCH($BQ$60,$A$61:$H$61,0))*고양시_Modal_split!G$3 * 0.01</f>
        <v>1.8829857426029112E-3</v>
      </c>
      <c r="BV70" s="207">
        <f>INDEX($A$61:$H$74,MATCH($L70,$B$61:$B$74,0),MATCH($BQ$60,$A$61:$H$61,0))*고양시_Modal_split!H$3 * 0.01</f>
        <v>2.046723633264034E-5</v>
      </c>
      <c r="BW70" s="207">
        <f>INDEX($A$61:$H$74,MATCH($L70,$B$61:$B$74,0),MATCH($BQ$60,$A$61:$H$61,0))*고양시_Modal_split!I$3 * 0.01</f>
        <v>5.6898917004740146E-3</v>
      </c>
      <c r="BX70" s="207">
        <f>INDEX($A$61:$H$74,MATCH($L70,$B$61:$B$74,0),MATCH($BQ$60,$A$61:$H$61,0))*고양시_Modal_split!J$3 * 0.01</f>
        <v>6.2302267396557198E-2</v>
      </c>
      <c r="BY70" s="207">
        <f>INDEX($A$61:$H$74,MATCH($L70,$B$61:$B$74,0),MATCH($BQ$60,$A$61:$H$61,0))*고양시_Modal_split!K$3 * 0.01</f>
        <v>3.0700854498960509E-4</v>
      </c>
      <c r="BZ70" s="207">
        <f>INDEX($A$61:$H$74,MATCH($L70,$B$61:$B$74,0),MATCH($BQ$60,$A$61:$H$61,0))*고양시_Modal_split!L$3 * 0.01</f>
        <v>6.1811053724573828E-3</v>
      </c>
      <c r="CA70" s="207">
        <f>INDEX($A$61:$H$74,MATCH($L70,$B$61:$B$74,0),MATCH($BQ$60,$A$61:$H$61,0))*고양시_Modal_split!M$3 * 0.01</f>
        <v>4.7074643565072781E-4</v>
      </c>
      <c r="CB70" s="207">
        <f>INDEX($A$61:$H$74,MATCH($L70,$B$61:$B$74,0),MATCH($BQ$60,$A$61:$H$61,0))*고양시_Modal_split!N$3 * 0.01</f>
        <v>2.0467236332640342E-4</v>
      </c>
      <c r="CC70" s="207">
        <f>INDEX($A$61:$H$74,MATCH($L70,$B$61:$B$74,0),MATCH($BQ$60,$A$61:$H$61,0))*고양시_Modal_split!O$3 * 0.01</f>
        <v>3.6841025398752617E-4</v>
      </c>
      <c r="CD70" s="207">
        <f>INDEX($A$61:$H$74,MATCH($L70,$B$61:$B$74,0),MATCH($BQ$60,$A$61:$H$61,0))*고양시_Modal_split!P$3 * 0.01</f>
        <v>0.2046723633264034</v>
      </c>
      <c r="CE70" s="304">
        <f t="shared" si="31"/>
        <v>1.9744213149863661</v>
      </c>
      <c r="CF70" s="304">
        <f t="shared" si="13"/>
        <v>331.6322658707457</v>
      </c>
      <c r="CG70" s="304">
        <f t="shared" si="14"/>
        <v>40.123061722401509</v>
      </c>
      <c r="CH70" s="304">
        <f t="shared" si="15"/>
        <v>64.662298065803483</v>
      </c>
      <c r="CI70" s="304">
        <f t="shared" si="16"/>
        <v>6.4873843206694879</v>
      </c>
      <c r="CJ70" s="304">
        <f t="shared" si="17"/>
        <v>7.0515046963798789E-2</v>
      </c>
      <c r="CK70" s="304">
        <f t="shared" si="18"/>
        <v>19.603183055936061</v>
      </c>
      <c r="CL70" s="304">
        <f t="shared" si="19"/>
        <v>214.64780295780349</v>
      </c>
      <c r="CM70" s="304">
        <f t="shared" si="20"/>
        <v>1.0577257044569817</v>
      </c>
      <c r="CN70" s="304">
        <f t="shared" si="21"/>
        <v>21.295544183067236</v>
      </c>
      <c r="CO70" s="304">
        <f t="shared" si="22"/>
        <v>1.621846080167372</v>
      </c>
      <c r="CP70" s="304">
        <f t="shared" si="23"/>
        <v>0.705150469637988</v>
      </c>
      <c r="CQ70" s="304">
        <f t="shared" si="24"/>
        <v>1.2692708453483781</v>
      </c>
      <c r="CR70" s="304">
        <f t="shared" si="25"/>
        <v>705.15046963798784</v>
      </c>
      <c r="CS70" s="305">
        <f t="shared" si="32"/>
        <v>0</v>
      </c>
      <c r="CV70" s="267" t="s">
        <v>47</v>
      </c>
      <c r="CW70" s="267" t="s">
        <v>47</v>
      </c>
      <c r="CX70" s="267">
        <f>INDEX($M$60:$Z$74,MATCH($CW70,$L$60:$L$74,0),MATCH(CX$61,$M$61:$Z$61,0))/INDEX(고양시_재차인원!$D$4:$H$35,MATCH("고양시",고양시_재차인원!$B$4:$B$35,0),MATCH($CX$60,고양시_재차인원!$D$4:$H$4,0))</f>
        <v>32.451487954852055</v>
      </c>
      <c r="CY70" s="267">
        <f>INDEX($M$60:$Z$74,MATCH($CW70,$L$60:$L$74,0),MATCH(CY$61,$M$61:$Z$61,0))/INDEX(고양시_재차인원!$K$4:$O$20,MATCH("경기도",고양시_재차인원!$K$4:$K$20,0),MATCH($CY$61,고양시_재차인원!$K$4:$O$4,0))</f>
        <v>2.684330548172736E-4</v>
      </c>
      <c r="CZ70" s="267">
        <f>INDEX($M$60:$Z$74,MATCH($CW70,$L$60:$L$74,0),MATCH(CZ$61,$M$61:$Z$61,0))/INDEX(고양시_재차인원!$K$4:$O$20,MATCH("경기도",고양시_재차인원!$K$4:$K$20,0),MATCH($CZ$61,고양시_재차인원!$K$4:$O$4,0))</f>
        <v>7.4624389239202046E-2</v>
      </c>
      <c r="DA70" s="267">
        <f>INDEX($M$60:$Z$74,MATCH($CW70,$L$60:$L$74,0),MATCH(DA$61,$M$61:$Z$61,0))/INDEX(고양시_재차인원!$D$4:$H$35,MATCH("고양시",고양시_재차인원!$B$4:$B$35,0),MATCH($CX$60,고양시_재차인원!$D$4:$H$4,0))</f>
        <v>2.0838505979939019</v>
      </c>
      <c r="DB70" s="267">
        <f>INDEX($AA$60:$AN$74,MATCH($CW70,$L$60:$L$74,0),MATCH(DB$61,$AA$61:$AN$61,0))/INDEX(고양시_재차인원!$D$4:$H$35,MATCH("고양시",고양시_재차인원!$B$4:$B$35,0),MATCH($DB$60,고양시_재차인원!$D$4:$H$4,0))</f>
        <v>200.4459217171559</v>
      </c>
      <c r="DC70" s="267">
        <f>INDEX($AA$60:$AN$74,MATCH($CW70,$L$60:$L$74,0),MATCH(DC$61,$AA$61:$AN$61,0))/INDEX(고양시_재차인원!$K$4:$O$20,MATCH("경기도",고양시_재차인원!$K$4:$K$20,0),MATCH($DC$61,고양시_재차인원!$K$4:$O$4,0))</f>
        <v>2.0873712309089016E-3</v>
      </c>
      <c r="DD70" s="267">
        <f>INDEX($AA$60:$AN$74,MATCH($CW70,$L$60:$L$74,0),MATCH(DD$61,$AA$61:$AN$61,0))/INDEX(고양시_재차인원!$K$4:$O$20,MATCH("경기도",고양시_재차인원!$K$4:$K$20,0),MATCH($DD$61,고양시_재차인원!$K$4:$O$4,0))</f>
        <v>0.58028920219267455</v>
      </c>
      <c r="DE70" s="267">
        <f>INDEX($AA$60:$AN$74,MATCH($CW70,$L$60:$L$74,0),MATCH(DE$61,$AA$61:$AN$61,0))/INDEX(고양시_재차인원!$D$4:$H$35,MATCH("고양시",고양시_재차인원!$B$4:$B$35,0),MATCH($DB$60,고양시_재차인원!$D$4:$H$4,0))</f>
        <v>12.871500820451006</v>
      </c>
      <c r="DF70" s="267">
        <f>INDEX($AO$60:$BB$74,MATCH($CW70,$L$60:$L$74,0),MATCH(DF$61,$AO$61:$BB$61,0))/INDEX(고양시_재차인원!$D$4:$H$35,MATCH("고양시",고양시_재차인원!$B$4:$B$35,0),MATCH($DF$60,고양시_재차인원!$D$4:$H$4,0))</f>
        <v>9.6366300948055095</v>
      </c>
      <c r="DG70" s="267">
        <f>INDEX($AO$60:$BB$74,MATCH($CW70,$L$60:$L$74,0),MATCH(DG$61,$AO$61:$BB$61,0))/INDEX(고양시_재차인원!$K$4:$O$20,MATCH("경기도",고양시_재차인원!$K$4:$K$20,0),MATCH($DG$61,고양시_재차인원!$K$4:$O$4,0))</f>
        <v>9.252346686138322E-5</v>
      </c>
      <c r="DH70" s="267">
        <f>INDEX($AO$60:$BB$74,MATCH($CW70,$L$60:$L$74,0),MATCH(DH$61,$AO$61:$BB$61,0))/INDEX(고양시_재차인원!$K$4:$O$20,MATCH("경기도",고양시_재차인원!$K$4:$K$20,0),MATCH($DH$61,고양시_재차인원!$K$4:$O$4,0))</f>
        <v>2.5721523787464534E-2</v>
      </c>
      <c r="DI70" s="267">
        <f>INDEX($AO$60:$BB$74,MATCH($CW70,$L$60:$L$74,0),MATCH(DI$61,$AO$61:$BB$61,0))/INDEX(고양시_재차인원!$D$4:$H$35,MATCH("고양시",고양시_재차인원!$B$4:$B$35,0),MATCH($DF$60,고양시_재차인원!$D$4:$H$4,0))</f>
        <v>0.61880975731049637</v>
      </c>
      <c r="DJ70" s="267">
        <f>INDEX($BC$60:$BP$74,MATCH($CW70,$L$60:$L$74,0),MATCH(DJ$61,$BC$61:$BP$61,0))/INDEX(고양시_재차인원!$D$4:$H$35,MATCH("고양시",고양시_재차인원!$B$4:$B$35,0),MATCH($DJ$60,고양시_재차인원!$D$4:$H$4,0))</f>
        <v>2.4980297354430938E-2</v>
      </c>
      <c r="DK70" s="267">
        <f>INDEX($BC$60:$BP$74,MATCH($CW70,$L$60:$L$74,0),MATCH(DK$61,$BC$61:$BP$61,0))/INDEX(고양시_재차인원!$K$4:$O$20,MATCH("경기도",고양시_재차인원!$K$4:$K$20,0),MATCH($DK$61,고양시_재차인원!$K$4:$O$4,0))</f>
        <v>2.5091109657324169E-7</v>
      </c>
      <c r="DL70" s="267">
        <f>INDEX($BC$60:$BP$74,MATCH($CW70,$L$60:$L$74,0),MATCH(DL$61,$BC$61:$BP$61,0))/INDEX(고양시_재차인원!$K$4:$O$20,MATCH("경기도",고양시_재차인원!$K$4:$K$20,0),MATCH($DL$61,고양시_재차인원!$K$4:$O$4,0))</f>
        <v>6.9753284847361187E-5</v>
      </c>
      <c r="DM70" s="267">
        <f>INDEX($BC$60:$BP$74,MATCH($CW70,$L$60:$L$74,0),MATCH(DM$61,$BC$61:$BP$61,0))/INDEX(고양시_재차인원!$D$4:$H$35,MATCH("고양시",고양시_재차인원!$B$4:$B$35,0),MATCH($DJ$60,고양시_재차인원!$D$4:$H$4,0))</f>
        <v>1.6040930897380701E-3</v>
      </c>
      <c r="DN70" s="267">
        <f>INDEX($BQ$60:$CD$74,MATCH($CW70,$L$60:$L$74,0),MATCH(DN$61,$BQ$61:$CD$61,0))/INDEX(고양시_재차인원!$D$4:$H$35,MATCH("고양시",고양시_재차인원!$B$4:$B$35,0),MATCH($DN$60,고양시_재차인원!$D$4:$H$4,0))</f>
        <v>7.6394771803498032E-2</v>
      </c>
      <c r="DO70" s="267">
        <f>INDEX($BQ$60:$CD$74,MATCH($CW70,$L$60:$L$74,0),MATCH(DO$61,$BQ$61:$CD$61,0))/INDEX(고양시_재차인원!$K$4:$O$20,MATCH("경기도",고양시_재차인원!$K$4:$K$20,0),MATCH($DO$61,고양시_재차인원!$K$4:$O$4,0))</f>
        <v>7.109147736241869E-7</v>
      </c>
      <c r="DP70" s="267">
        <f>INDEX($BQ$60:$CD$74,MATCH($CW70,$L$60:$L$74,0),MATCH(DP$61,$BQ$61:$CD$61,0))/INDEX(고양시_재차인원!$K$4:$O$20,MATCH("경기도",고양시_재차인원!$K$4:$K$20,0),MATCH($DP$61,고양시_재차인원!$K$4:$O$4,0))</f>
        <v>1.9763430706752397E-4</v>
      </c>
      <c r="DQ70" s="267">
        <f>INDEX($BQ$60:$CD$74,MATCH($CW70,$L$60:$L$74,0),MATCH(DQ$61,$BQ$61:$CD$61,0))/INDEX(고양시_재차인원!$D$4:$H$35,MATCH("고양시",고양시_재차인원!$B$4:$B$35,0),MATCH($DN$60,고양시_재차인원!$D$4:$H$4,0))</f>
        <v>4.9056391844899865E-3</v>
      </c>
      <c r="DR70" s="270">
        <f t="shared" si="33"/>
        <v>242.63541483597137</v>
      </c>
      <c r="DS70" s="270">
        <f t="shared" si="26"/>
        <v>2.449289578457756E-3</v>
      </c>
      <c r="DT70" s="270">
        <f t="shared" si="27"/>
        <v>0.68090250281125597</v>
      </c>
      <c r="DU70" s="270">
        <f t="shared" si="28"/>
        <v>15.58067090802963</v>
      </c>
      <c r="DW70" s="278" t="s">
        <v>47</v>
      </c>
      <c r="DX70" s="278" t="s">
        <v>47</v>
      </c>
      <c r="DY70" s="281">
        <f t="shared" si="41"/>
        <v>258.21608574400102</v>
      </c>
      <c r="DZ70" s="281">
        <f t="shared" si="42"/>
        <v>0.68335179238971377</v>
      </c>
      <c r="EB70" s="278" t="s">
        <v>169</v>
      </c>
      <c r="EC70" s="278" t="s">
        <v>169</v>
      </c>
      <c r="ED70" s="281">
        <f t="shared" si="45"/>
        <v>414.27576256564123</v>
      </c>
      <c r="EE70" s="281">
        <f t="shared" si="44"/>
        <v>1.0963534052387105</v>
      </c>
      <c r="EK70" s="420" t="s">
        <v>168</v>
      </c>
      <c r="EL70" s="420" t="s">
        <v>168</v>
      </c>
      <c r="EM70" s="420" t="s">
        <v>223</v>
      </c>
      <c r="EN70" s="420">
        <v>69072.016600000003</v>
      </c>
      <c r="EO70" s="420">
        <v>0.41000415063214324</v>
      </c>
      <c r="EP70" s="421">
        <v>849009</v>
      </c>
      <c r="EQ70" s="422">
        <f t="shared" si="37"/>
        <v>676.58792039378022</v>
      </c>
      <c r="ER70" s="422">
        <f t="shared" si="38"/>
        <v>1.7905451814829862</v>
      </c>
      <c r="ES70">
        <v>0</v>
      </c>
      <c r="EU70" s="306" t="s">
        <v>168</v>
      </c>
      <c r="EV70" s="306" t="s">
        <v>168</v>
      </c>
      <c r="EW70" s="306" t="s">
        <v>223</v>
      </c>
      <c r="EX70" s="306">
        <v>69072.016600000003</v>
      </c>
      <c r="EY70" s="306">
        <v>0.41000415063214324</v>
      </c>
      <c r="EZ70" s="307">
        <v>849009</v>
      </c>
      <c r="FA70" s="308">
        <f t="shared" si="39"/>
        <v>676.58792039378022</v>
      </c>
      <c r="FB70" s="308">
        <f t="shared" si="30"/>
        <v>1.7905451814829862</v>
      </c>
      <c r="FD70" s="101"/>
      <c r="FE70" s="101"/>
      <c r="FF70" s="101"/>
      <c r="FG70" s="101"/>
      <c r="FH70" s="101"/>
      <c r="FI70" s="374"/>
      <c r="FJ70" s="404"/>
      <c r="FK70" s="404"/>
    </row>
    <row r="71" spans="1:167" ht="25">
      <c r="A71" s="205" t="s">
        <v>169</v>
      </c>
      <c r="B71" s="205" t="s">
        <v>169</v>
      </c>
      <c r="C71" s="201">
        <f>$L38*KTDB_TripDistribution_2035!L$12</f>
        <v>123.98920934686096</v>
      </c>
      <c r="D71" s="201">
        <f>$L38*KTDB_TripDistribution_2035!M$12</f>
        <v>964.1566263512351</v>
      </c>
      <c r="E71" s="201">
        <f>$L38*KTDB_TripDistribution_2035!N$12</f>
        <v>42.736582906984012</v>
      </c>
      <c r="F71" s="201">
        <f>$L38*KTDB_TripDistribution_2035!O$12</f>
        <v>0.11589581805283757</v>
      </c>
      <c r="G71" s="201">
        <f>$L38*KTDB_TripDistribution_2035!P$12</f>
        <v>0.32837148448304077</v>
      </c>
      <c r="H71" s="201">
        <f>$L38*KTDB_TripDistribution_2035!Q$12</f>
        <v>1131.3266859076159</v>
      </c>
      <c r="I71" s="56"/>
      <c r="J71" s="56"/>
      <c r="K71" s="206" t="s">
        <v>169</v>
      </c>
      <c r="L71" s="206" t="s">
        <v>169</v>
      </c>
      <c r="M71" s="206">
        <f>INDEX($A$61:$H$74,MATCH($L71,$B$61:$B$74,0),MATCH($M$60,$A$61:$H$61,0))*고양시_Modal_split!C$3 * 0.01</f>
        <v>0.34716978617121064</v>
      </c>
      <c r="N71" s="206">
        <f>INDEX($A$61:$H$74,MATCH($L71,$B$61:$B$74,0),MATCH($M$60,$A$61:$H$61,0))*고양시_Modal_split!D$3 * 0.01</f>
        <v>58.31212515582871</v>
      </c>
      <c r="O71" s="206">
        <f>INDEX($A$61:$H$74,MATCH($L71,$B$61:$B$74,0),MATCH($M$60,$A$61:$H$61,0))*고양시_Modal_split!E$3 * 0.01</f>
        <v>7.0549860118363883</v>
      </c>
      <c r="P71" s="206">
        <f>INDEX($A$61:$H$74,MATCH($L71,$B$61:$B$74,0),MATCH($M$60,$A$61:$H$61,0))*고양시_Modal_split!F$3 * 0.01</f>
        <v>11.369810497107151</v>
      </c>
      <c r="Q71" s="206">
        <f>INDEX($A$61:$H$74,MATCH($L71,$B$61:$B$74,0),MATCH($M$60,$A$61:$H$61,0))*고양시_Modal_split!G$3 * 0.01</f>
        <v>1.1407007259911208</v>
      </c>
      <c r="R71" s="206">
        <f>INDEX($A$61:$H$74,MATCH($L71,$B$61:$B$74,0),MATCH($M$60,$A$61:$H$61,0))*고양시_Modal_split!H$3 * 0.01</f>
        <v>1.2398920934686098E-2</v>
      </c>
      <c r="S71" s="206">
        <f>INDEX($A$61:$H$74,MATCH($L71,$B$61:$B$74,0),MATCH($M$60,$A$61:$H$61,0))*고양시_Modal_split!I$3 * 0.01</f>
        <v>3.4469000198427349</v>
      </c>
      <c r="T71" s="206">
        <f>INDEX($A$61:$H$74,MATCH($L71,$B$61:$B$74,0),MATCH($M$60,$A$61:$H$61,0))*고양시_Modal_split!J$3 * 0.01</f>
        <v>37.742315325184478</v>
      </c>
      <c r="U71" s="206">
        <f>INDEX($A$61:$H$74,MATCH($L71,$B$61:$B$74,0),MATCH($M$60,$A$61:$H$61,0))*고양시_Modal_split!K$3 * 0.01</f>
        <v>0.18598381402029143</v>
      </c>
      <c r="V71" s="206">
        <f>INDEX($A$61:$H$74,MATCH($L71,$B$61:$B$74,0),MATCH($M$60,$A$61:$H$61,0))*고양시_Modal_split!L$3 * 0.01</f>
        <v>3.7444741222752009</v>
      </c>
      <c r="W71" s="206">
        <f>INDEX($A$61:$H$74,MATCH($L71,$B$61:$B$74,0),MATCH($M$60,$A$61:$H$61,0))*고양시_Modal_split!M$3 * 0.01</f>
        <v>0.28517518149778021</v>
      </c>
      <c r="X71" s="206">
        <f>INDEX($A$61:$H$74,MATCH($L71,$B$61:$B$74,0),MATCH($M$60,$A$61:$H$61,0))*고양시_Modal_split!N$3 * 0.01</f>
        <v>0.12398920934686096</v>
      </c>
      <c r="Y71" s="206">
        <f>INDEX($A$61:$H$74,MATCH($L71,$B$61:$B$74,0),MATCH($M$60,$A$61:$H$61,0))*고양시_Modal_split!O$3 * 0.01</f>
        <v>0.22318057682434972</v>
      </c>
      <c r="Z71" s="209">
        <f>INDEX($A$61:$H$74,MATCH($L71,$B$61:$B$74,0),MATCH($M$60,$A$61:$H$61,0))*고양시_Modal_split!P$3 * 0.01</f>
        <v>123.98920934686096</v>
      </c>
      <c r="AA71" s="207">
        <f>INDEX($A$61:$H$74,MATCH($L71,$B$61:$B$74,0),MATCH($AA$60,$A$61:$H$61,0))*고양시_Modal_split!C$3 * 0.01</f>
        <v>2.699638553783458</v>
      </c>
      <c r="AB71" s="207">
        <f>INDEX($A$61:$H$74,MATCH($L71,$B$61:$B$74,0),MATCH($AA$60,$A$61:$H$61,0))*고양시_Modal_split!D$3 * 0.01</f>
        <v>453.44286137298587</v>
      </c>
      <c r="AC71" s="207">
        <f>INDEX($A$61:$H$74,MATCH($L71,$B$61:$B$74,0),MATCH($AA$60,$A$61:$H$61,0))*고양시_Modal_split!E$3 * 0.01</f>
        <v>54.860512039385277</v>
      </c>
      <c r="AD71" s="207">
        <f>INDEX($A$61:$H$74,MATCH($L71,$B$61:$B$74,0),MATCH($AA$60,$A$61:$H$61,0))*고양시_Modal_split!F$3 * 0.01</f>
        <v>88.413162636408259</v>
      </c>
      <c r="AE71" s="207">
        <f>INDEX($A$61:$H$74,MATCH($L71,$B$61:$B$74,0),MATCH($AA$60,$A$61:$H$61,0))*고양시_Modal_split!G$3 * 0.01</f>
        <v>8.8702409624313621</v>
      </c>
      <c r="AF71" s="207">
        <f>INDEX($A$61:$H$74,MATCH($L71,$B$61:$B$74,0),MATCH($AA$60,$A$61:$H$61,0))*고양시_Modal_split!H$3 * 0.01</f>
        <v>9.6415662635123509E-2</v>
      </c>
      <c r="AG71" s="207">
        <f>INDEX($A$61:$H$74,MATCH($L71,$B$61:$B$74,0),MATCH($AA$60,$A$61:$H$61,0))*고양시_Modal_split!I$3 * 0.01</f>
        <v>26.803554212564336</v>
      </c>
      <c r="AH71" s="207">
        <f>INDEX($A$61:$H$74,MATCH($L71,$B$61:$B$74,0),MATCH($AA$60,$A$61:$H$61,0))*고양시_Modal_split!J$3 * 0.01</f>
        <v>293.48927706131599</v>
      </c>
      <c r="AI71" s="207">
        <f>INDEX($A$61:$H$74,MATCH($L71,$B$61:$B$74,0),MATCH($AA$60,$A$61:$H$61,0))*고양시_Modal_split!K$3 * 0.01</f>
        <v>1.4462349395268528</v>
      </c>
      <c r="AJ71" s="207">
        <f>INDEX($A$61:$H$74,MATCH($L71,$B$61:$B$74,0),MATCH($AA$60,$A$61:$H$61,0))*고양시_Modal_split!L$3 * 0.01</f>
        <v>29.117530115807298</v>
      </c>
      <c r="AK71" s="207">
        <f>INDEX($A$61:$H$74,MATCH($L71,$B$61:$B$74,0),MATCH($AA$60,$A$61:$H$61,0))*고양시_Modal_split!M$3 * 0.01</f>
        <v>2.2175602406078405</v>
      </c>
      <c r="AL71" s="207">
        <f>INDEX($A$61:$H$74,MATCH($L71,$B$61:$B$74,0),MATCH($AA$60,$A$61:$H$61,0))*고양시_Modal_split!N$3 * 0.01</f>
        <v>0.96415662635123511</v>
      </c>
      <c r="AM71" s="207">
        <f>INDEX($A$61:$H$74,MATCH($L71,$B$61:$B$74,0),MATCH($AA$60,$A$61:$H$61,0))*고양시_Modal_split!O$3 * 0.01</f>
        <v>1.7354819274322231</v>
      </c>
      <c r="AN71" s="207">
        <f>INDEX($A$61:$H$74,MATCH($L71,$B$61:$B$74,0),MATCH($AA$60,$A$61:$H$61,0))*고양시_Modal_split!P$3 * 0.01</f>
        <v>964.15662635123522</v>
      </c>
      <c r="AO71" s="303">
        <f>INDEX($A$61:$H$74,MATCH($L71,$B$61:$B$74,0),MATCH($AO$60,$A$61:$H$61,0))*고양시_Modal_split!C$3 * 0.01</f>
        <v>0.11966243213955523</v>
      </c>
      <c r="AP71" s="303">
        <f>INDEX($A$61:$H$74,MATCH($L71,$B$61:$B$74,0),MATCH($AO$60,$A$61:$H$61,0))*고양시_Modal_split!D$3 * 0.01</f>
        <v>20.099014941154582</v>
      </c>
      <c r="AQ71" s="303">
        <f>INDEX($A$61:$H$74,MATCH($L71,$B$61:$B$74,0),MATCH($AO$60,$A$61:$H$61,0))*고양시_Modal_split!E$3 * 0.01</f>
        <v>2.4317115674073899</v>
      </c>
      <c r="AR71" s="303">
        <f>INDEX($A$61:$H$74,MATCH($L71,$B$61:$B$74,0),MATCH($AO$60,$A$61:$H$61,0))*고양시_Modal_split!F$3 * 0.01</f>
        <v>3.9189446525704343</v>
      </c>
      <c r="AS71" s="303">
        <f>INDEX($A$61:$H$74,MATCH($L71,$B$61:$B$74,0),MATCH($AO$60,$A$61:$H$61,0))*고양시_Modal_split!G$3 * 0.01</f>
        <v>0.39317656274425289</v>
      </c>
      <c r="AT71" s="303">
        <f>INDEX($A$61:$H$74,MATCH($L71,$B$61:$B$74,0),MATCH($AO$60,$A$61:$H$61,0))*고양시_Modal_split!H$3 * 0.01</f>
        <v>4.2736582906984016E-3</v>
      </c>
      <c r="AU71" s="303">
        <f>INDEX($A$61:$H$74,MATCH($L71,$B$61:$B$74,0),MATCH($AO$60,$A$61:$H$61,0))*고양시_Modal_split!I$3 * 0.01</f>
        <v>1.1880770048141553</v>
      </c>
      <c r="AV71" s="303">
        <f>INDEX($A$61:$H$74,MATCH($L71,$B$61:$B$74,0),MATCH($AO$60,$A$61:$H$61,0))*고양시_Modal_split!J$3 * 0.01</f>
        <v>13.009015836885933</v>
      </c>
      <c r="AW71" s="303">
        <f>INDEX($A$61:$H$74,MATCH($L71,$B$61:$B$74,0),MATCH($AO$60,$A$61:$H$61,0))*고양시_Modal_split!K$3 * 0.01</f>
        <v>6.4104874360476016E-2</v>
      </c>
      <c r="AX71" s="303">
        <f>INDEX($A$61:$H$74,MATCH($L71,$B$61:$B$74,0),MATCH($AO$60,$A$61:$H$61,0))*고양시_Modal_split!L$3 * 0.01</f>
        <v>1.2906448037909173</v>
      </c>
      <c r="AY71" s="303">
        <f>INDEX($A$61:$H$74,MATCH($L71,$B$61:$B$74,0),MATCH($AO$60,$A$61:$H$61,0))*고양시_Modal_split!M$3 * 0.01</f>
        <v>9.8294140686063222E-2</v>
      </c>
      <c r="AZ71" s="303">
        <f>INDEX($A$61:$H$74,MATCH($L71,$B$61:$B$74,0),MATCH($AO$60,$A$61:$H$61,0))*고양시_Modal_split!N$3 * 0.01</f>
        <v>4.2736582906984018E-2</v>
      </c>
      <c r="BA71" s="207">
        <f>INDEX($A$61:$H$74,MATCH($L71,$B$61:$B$74,0),MATCH($AO$60,$A$61:$H$61,0))*고양시_Modal_split!O$3 * 0.01</f>
        <v>7.6925849232571217E-2</v>
      </c>
      <c r="BB71" s="207">
        <f>INDEX($A$61:$H$74,MATCH($L71,$B$61:$B$74,0),MATCH($AO$60,$A$61:$H$61,0))*고양시_Modal_split!P$3 * 0.01</f>
        <v>42.736582906984012</v>
      </c>
      <c r="BC71" s="207">
        <f>INDEX($A$61:$H$74,MATCH($L71,$B$61:$B$74,0),MATCH($BC$60,$A$61:$H$61,0))*고양시_Modal_split!C$3 * 0.01</f>
        <v>3.2450829054794518E-4</v>
      </c>
      <c r="BD71" s="207">
        <f>INDEX($A$61:$H$74,MATCH($L71,$B$61:$B$74,0),MATCH($BC$60,$A$61:$H$61,0))*고양시_Modal_split!D$3 * 0.01</f>
        <v>5.4505803230249512E-2</v>
      </c>
      <c r="BE71" s="207">
        <f>INDEX($A$61:$H$74,MATCH($L71,$B$61:$B$74,0),MATCH($BC$60,$A$61:$H$61,0))*고양시_Modal_split!E$3 * 0.01</f>
        <v>6.5944720472064572E-3</v>
      </c>
      <c r="BF71" s="207">
        <f>INDEX($A$61:$H$74,MATCH($L71,$B$61:$B$74,0),MATCH($BC$60,$A$61:$H$61,0))*고양시_Modal_split!F$3 * 0.01</f>
        <v>1.0627646515445203E-2</v>
      </c>
      <c r="BG71" s="207">
        <f>INDEX($A$61:$H$74,MATCH($L71,$B$61:$B$74,0),MATCH($BC$60,$A$61:$H$61,0))*고양시_Modal_split!G$3 * 0.01</f>
        <v>1.0662415260861056E-3</v>
      </c>
      <c r="BH71" s="207">
        <f>INDEX($A$61:$H$74,MATCH($L71,$B$61:$B$74,0),MATCH($BC$60,$A$61:$H$61,0))*고양시_Modal_split!H$3 * 0.01</f>
        <v>1.1589581805283759E-5</v>
      </c>
      <c r="BI71" s="207">
        <f>INDEX($A$61:$H$74,MATCH($L71,$B$61:$B$74,0),MATCH($BC$60,$A$61:$H$61,0))*고양시_Modal_split!I$3 * 0.01</f>
        <v>3.221903741868884E-3</v>
      </c>
      <c r="BJ71" s="207">
        <f>INDEX($A$61:$H$74,MATCH($L71,$B$61:$B$74,0),MATCH($BC$60,$A$61:$H$61,0))*고양시_Modal_split!J$3 * 0.01</f>
        <v>3.5278687015283756E-2</v>
      </c>
      <c r="BK71" s="207">
        <f>INDEX($A$61:$H$74,MATCH($L71,$B$61:$B$74,0),MATCH($BC$60,$A$61:$H$61,0))*고양시_Modal_split!K$3 * 0.01</f>
        <v>1.7384372707925634E-4</v>
      </c>
      <c r="BL71" s="207">
        <f>INDEX($A$61:$H$74,MATCH($L71,$B$61:$B$74,0),MATCH($BC$60,$A$61:$H$61,0))*고양시_Modal_split!L$3 * 0.01</f>
        <v>3.5000537051956943E-3</v>
      </c>
      <c r="BM71" s="207">
        <f>INDEX($A$61:$H$74,MATCH($L71,$B$61:$B$74,0),MATCH($BC$60,$A$61:$H$61,0))*고양시_Modal_split!M$3 * 0.01</f>
        <v>2.6656038152152639E-4</v>
      </c>
      <c r="BN71" s="207">
        <f>INDEX($A$61:$H$74,MATCH($L71,$B$61:$B$74,0),MATCH($BC$60,$A$61:$H$61,0))*고양시_Modal_split!N$3 * 0.01</f>
        <v>1.1589581805283757E-4</v>
      </c>
      <c r="BO71" s="207">
        <f>INDEX($A$61:$H$74,MATCH($L71,$B$61:$B$74,0),MATCH($BC$60,$A$61:$H$61,0))*고양시_Modal_split!O$3 * 0.01</f>
        <v>2.0861247249510763E-4</v>
      </c>
      <c r="BP71" s="207">
        <f>INDEX($A$61:$H$74,MATCH($L71,$B$61:$B$74,0),MATCH($BC$60,$A$61:$H$61,0))*고양시_Modal_split!P$3 * 0.01</f>
        <v>0.11589581805283757</v>
      </c>
      <c r="BQ71" s="207">
        <f>INDEX($A$61:$H$74,MATCH($L71,$B$61:$B$74,0),MATCH($BQ$60,$A$61:$H$61,0))*고양시_Modal_split!C$3 * 0.01</f>
        <v>9.19440156552514E-4</v>
      </c>
      <c r="BR71" s="207">
        <f>INDEX($A$61:$H$74,MATCH($L71,$B$61:$B$74,0),MATCH($BQ$60,$A$61:$H$61,0))*고양시_Modal_split!D$3 * 0.01</f>
        <v>0.15443310915237407</v>
      </c>
      <c r="BS71" s="207">
        <f>INDEX($A$61:$H$74,MATCH($L71,$B$61:$B$74,0),MATCH($BQ$60,$A$61:$H$61,0))*고양시_Modal_split!E$3 * 0.01</f>
        <v>1.8684337467085019E-2</v>
      </c>
      <c r="BT71" s="207">
        <f>INDEX($A$61:$H$74,MATCH($L71,$B$61:$B$74,0),MATCH($BQ$60,$A$61:$H$61,0))*고양시_Modal_split!F$3 * 0.01</f>
        <v>3.0111665127094841E-2</v>
      </c>
      <c r="BU71" s="207">
        <f>INDEX($A$61:$H$74,MATCH($L71,$B$61:$B$74,0),MATCH($BQ$60,$A$61:$H$61,0))*고양시_Modal_split!G$3 * 0.01</f>
        <v>3.0210176572439745E-3</v>
      </c>
      <c r="BV71" s="207">
        <f>INDEX($A$61:$H$74,MATCH($L71,$B$61:$B$74,0),MATCH($BQ$60,$A$61:$H$61,0))*고양시_Modal_split!H$3 * 0.01</f>
        <v>3.2837148448304075E-5</v>
      </c>
      <c r="BW71" s="207">
        <f>INDEX($A$61:$H$74,MATCH($L71,$B$61:$B$74,0),MATCH($BQ$60,$A$61:$H$61,0))*고양시_Modal_split!I$3 * 0.01</f>
        <v>9.1287272686285323E-3</v>
      </c>
      <c r="BX71" s="207">
        <f>INDEX($A$61:$H$74,MATCH($L71,$B$61:$B$74,0),MATCH($BQ$60,$A$61:$H$61,0))*고양시_Modal_split!J$3 * 0.01</f>
        <v>9.9956279876637619E-2</v>
      </c>
      <c r="BY71" s="207">
        <f>INDEX($A$61:$H$74,MATCH($L71,$B$61:$B$74,0),MATCH($BQ$60,$A$61:$H$61,0))*고양시_Modal_split!K$3 * 0.01</f>
        <v>4.9255722672456113E-4</v>
      </c>
      <c r="BZ71" s="207">
        <f>INDEX($A$61:$H$74,MATCH($L71,$B$61:$B$74,0),MATCH($BQ$60,$A$61:$H$61,0))*고양시_Modal_split!L$3 * 0.01</f>
        <v>9.916818831387831E-3</v>
      </c>
      <c r="CA71" s="207">
        <f>INDEX($A$61:$H$74,MATCH($L71,$B$61:$B$74,0),MATCH($BQ$60,$A$61:$H$61,0))*고양시_Modal_split!M$3 * 0.01</f>
        <v>7.5525441431099362E-4</v>
      </c>
      <c r="CB71" s="207">
        <f>INDEX($A$61:$H$74,MATCH($L71,$B$61:$B$74,0),MATCH($BQ$60,$A$61:$H$61,0))*고양시_Modal_split!N$3 * 0.01</f>
        <v>3.2837148448304081E-4</v>
      </c>
      <c r="CC71" s="207">
        <f>INDEX($A$61:$H$74,MATCH($L71,$B$61:$B$74,0),MATCH($BQ$60,$A$61:$H$61,0))*고양시_Modal_split!O$3 * 0.01</f>
        <v>5.9106867206947336E-4</v>
      </c>
      <c r="CD71" s="207">
        <f>INDEX($A$61:$H$74,MATCH($L71,$B$61:$B$74,0),MATCH($BQ$60,$A$61:$H$61,0))*고양시_Modal_split!P$3 * 0.01</f>
        <v>0.32837148448304077</v>
      </c>
      <c r="CE71" s="304">
        <f t="shared" si="31"/>
        <v>3.1677147205413241</v>
      </c>
      <c r="CF71" s="304">
        <f t="shared" si="13"/>
        <v>532.06294038235171</v>
      </c>
      <c r="CG71" s="304">
        <f t="shared" si="14"/>
        <v>64.372488428143342</v>
      </c>
      <c r="CH71" s="304">
        <f t="shared" si="15"/>
        <v>103.74265709772838</v>
      </c>
      <c r="CI71" s="304">
        <f t="shared" si="16"/>
        <v>10.408205510350065</v>
      </c>
      <c r="CJ71" s="304">
        <f t="shared" si="17"/>
        <v>0.11313266859076158</v>
      </c>
      <c r="CK71" s="304">
        <f t="shared" si="18"/>
        <v>31.450881868231725</v>
      </c>
      <c r="CL71" s="304">
        <f t="shared" si="19"/>
        <v>344.37584319027832</v>
      </c>
      <c r="CM71" s="304">
        <f t="shared" si="20"/>
        <v>1.6969900288614239</v>
      </c>
      <c r="CN71" s="304">
        <f t="shared" si="21"/>
        <v>34.166065914409998</v>
      </c>
      <c r="CO71" s="304">
        <f t="shared" si="22"/>
        <v>2.6020513775875163</v>
      </c>
      <c r="CP71" s="304">
        <f t="shared" si="23"/>
        <v>1.1313266859076161</v>
      </c>
      <c r="CQ71" s="304">
        <f t="shared" si="24"/>
        <v>2.0363880346337084</v>
      </c>
      <c r="CR71" s="304">
        <f t="shared" si="25"/>
        <v>1131.3266859076161</v>
      </c>
      <c r="CS71" s="305">
        <f t="shared" si="32"/>
        <v>0</v>
      </c>
      <c r="CV71" s="267" t="s">
        <v>169</v>
      </c>
      <c r="CW71" s="267" t="s">
        <v>169</v>
      </c>
      <c r="CX71" s="267">
        <f>INDEX($M$60:$Z$74,MATCH($CW71,$L$60:$L$74,0),MATCH(CX$61,$M$61:$Z$61,0))/INDEX(고양시_재차인원!$D$4:$H$35,MATCH("고양시",고양시_재차인원!$B$4:$B$35,0),MATCH($CX$60,고양시_재차인원!$D$4:$H$4,0))</f>
        <v>52.064397460561345</v>
      </c>
      <c r="CY71" s="267">
        <f>INDEX($M$60:$Z$74,MATCH($CW71,$L$60:$L$74,0),MATCH(CY$61,$M$61:$Z$61,0))/INDEX(고양시_재차인원!$K$4:$O$20,MATCH("경기도",고양시_재차인원!$K$4:$K$20,0),MATCH($CY$61,고양시_재차인원!$K$4:$O$4,0))</f>
        <v>4.3066762537985752E-4</v>
      </c>
      <c r="CZ71" s="267">
        <f>INDEX($M$60:$Z$74,MATCH($CW71,$L$60:$L$74,0),MATCH(CZ$61,$M$61:$Z$61,0))/INDEX(고양시_재차인원!$K$4:$O$20,MATCH("경기도",고양시_재차인원!$K$4:$K$20,0),MATCH($CZ$61,고양시_재차인원!$K$4:$O$4,0))</f>
        <v>0.11972559985560038</v>
      </c>
      <c r="DA71" s="267">
        <f>INDEX($M$60:$Z$74,MATCH($CW71,$L$60:$L$74,0),MATCH(DA$61,$M$61:$Z$61,0))/INDEX(고양시_재차인원!$D$4:$H$35,MATCH("고양시",고양시_재차인원!$B$4:$B$35,0),MATCH($CX$60,고양시_재차인원!$D$4:$H$4,0))</f>
        <v>3.3432804663171432</v>
      </c>
      <c r="DB71" s="267">
        <f>INDEX($AA$60:$AN$74,MATCH($CW71,$L$60:$L$74,0),MATCH(DB$61,$AA$61:$AN$61,0))/INDEX(고양시_재차인원!$D$4:$H$35,MATCH("고양시",고양시_재차인원!$B$4:$B$35,0),MATCH($DB$60,고양시_재차인원!$D$4:$H$4,0))</f>
        <v>321.59068182481269</v>
      </c>
      <c r="DC71" s="267">
        <f>INDEX($AA$60:$AN$74,MATCH($CW71,$L$60:$L$74,0),MATCH(DC$61,$AA$61:$AN$61,0))/INDEX(고양시_재차인원!$K$4:$O$20,MATCH("경기도",고양시_재차인원!$K$4:$K$20,0),MATCH($DC$61,고양시_재차인원!$K$4:$O$4,0))</f>
        <v>3.348928886249514E-3</v>
      </c>
      <c r="DD71" s="267">
        <f>INDEX($AA$60:$AN$74,MATCH($CW71,$L$60:$L$74,0),MATCH(DD$61,$AA$61:$AN$61,0))/INDEX(고양시_재차인원!$K$4:$O$20,MATCH("경기도",고양시_재차인원!$K$4:$K$20,0),MATCH($DD$61,고양시_재차인원!$K$4:$O$4,0))</f>
        <v>0.93100223037736496</v>
      </c>
      <c r="DE71" s="267">
        <f>INDEX($AA$60:$AN$74,MATCH($CW71,$L$60:$L$74,0),MATCH(DE$61,$AA$61:$AN$61,0))/INDEX(고양시_재차인원!$D$4:$H$35,MATCH("고양시",고양시_재차인원!$B$4:$B$35,0),MATCH($DB$60,고양시_재차인원!$D$4:$H$4,0))</f>
        <v>20.650730578586739</v>
      </c>
      <c r="DF71" s="267">
        <f>INDEX($AO$60:$BB$74,MATCH($CW71,$L$60:$L$74,0),MATCH(DF$61,$AO$61:$BB$61,0))/INDEX(고양시_재차인원!$D$4:$H$35,MATCH("고양시",고양시_재차인원!$B$4:$B$35,0),MATCH($DF$60,고양시_재차인원!$D$4:$H$4,0))</f>
        <v>15.460780723965062</v>
      </c>
      <c r="DG71" s="267">
        <f>INDEX($AO$60:$BB$74,MATCH($CW71,$L$60:$L$74,0),MATCH(DG$61,$AO$61:$BB$61,0))/INDEX(고양시_재차인원!$K$4:$O$20,MATCH("경기도",고양시_재차인원!$K$4:$K$20,0),MATCH($DG$61,고양시_재차인원!$K$4:$O$4,0))</f>
        <v>1.4844245539070517E-4</v>
      </c>
      <c r="DH71" s="267">
        <f>INDEX($AO$60:$BB$74,MATCH($CW71,$L$60:$L$74,0),MATCH(DH$61,$AO$61:$BB$61,0))/INDEX(고양시_재차인원!$K$4:$O$20,MATCH("경기도",고양시_재차인원!$K$4:$K$20,0),MATCH($DH$61,고양시_재차인원!$K$4:$O$4,0))</f>
        <v>4.1267002598616029E-2</v>
      </c>
      <c r="DI71" s="267">
        <f>INDEX($AO$60:$BB$74,MATCH($CW71,$L$60:$L$74,0),MATCH(DI$61,$AO$61:$BB$61,0))/INDEX(고양시_재차인원!$D$4:$H$35,MATCH("고양시",고양시_재차인원!$B$4:$B$35,0),MATCH($DF$60,고양시_재차인원!$D$4:$H$4,0))</f>
        <v>0.99280369522378253</v>
      </c>
      <c r="DJ71" s="267">
        <f>INDEX($BC$60:$BP$74,MATCH($CW71,$L$60:$L$74,0),MATCH(DJ$61,$BC$61:$BP$61,0))/INDEX(고양시_재차인원!$D$4:$H$35,MATCH("고양시",고양시_재차인원!$B$4:$B$35,0),MATCH($DJ$60,고양시_재차인원!$D$4:$H$4,0))</f>
        <v>4.0077796492830518E-2</v>
      </c>
      <c r="DK71" s="267">
        <f>INDEX($BC$60:$BP$74,MATCH($CW71,$L$60:$L$74,0),MATCH(DK$61,$BC$61:$BP$61,0))/INDEX(고양시_재차인원!$K$4:$O$20,MATCH("경기도",고양시_재차인원!$K$4:$K$20,0),MATCH($DK$61,고양시_재차인원!$K$4:$O$4,0))</f>
        <v>4.0255581122902947E-7</v>
      </c>
      <c r="DL71" s="267">
        <f>INDEX($BC$60:$BP$74,MATCH($CW71,$L$60:$L$74,0),MATCH(DL$61,$BC$61:$BP$61,0))/INDEX(고양시_재차인원!$K$4:$O$20,MATCH("경기도",고양시_재차인원!$K$4:$K$20,0),MATCH($DL$61,고양시_재차인원!$K$4:$O$4,0))</f>
        <v>1.1191051552167017E-4</v>
      </c>
      <c r="DM71" s="267">
        <f>INDEX($BC$60:$BP$74,MATCH($CW71,$L$60:$L$74,0),MATCH(DM$61,$BC$61:$BP$61,0))/INDEX(고양시_재차인원!$D$4:$H$35,MATCH("고양시",고양시_재차인원!$B$4:$B$35,0),MATCH($DJ$60,고양시_재차인원!$D$4:$H$4,0))</f>
        <v>2.5735689008791868E-3</v>
      </c>
      <c r="DN71" s="267">
        <f>INDEX($BQ$60:$CD$74,MATCH($CW71,$L$60:$L$74,0),MATCH(DN$61,$BQ$61:$CD$61,0))/INDEX(고양시_재차인원!$D$4:$H$35,MATCH("고양시",고양시_재차인원!$B$4:$B$35,0),MATCH($DN$60,고양시_재차인원!$D$4:$H$4,0))</f>
        <v>0.12256595964474133</v>
      </c>
      <c r="DO71" s="267">
        <f>INDEX($BQ$60:$CD$74,MATCH($CW71,$L$60:$L$74,0),MATCH(DO$61,$BQ$61:$CD$61,0))/INDEX(고양시_재차인원!$K$4:$O$20,MATCH("경기도",고양시_재차인원!$K$4:$K$20,0),MATCH($DO$61,고양시_재차인원!$K$4:$O$4,0))</f>
        <v>1.1405747984822533E-6</v>
      </c>
      <c r="DP71" s="267">
        <f>INDEX($BQ$60:$CD$74,MATCH($CW71,$L$60:$L$74,0),MATCH(DP$61,$BQ$61:$CD$61,0))/INDEX(고양시_재차인원!$K$4:$O$20,MATCH("경기도",고양시_재차인원!$K$4:$K$20,0),MATCH($DP$61,고양시_재차인원!$K$4:$O$4,0))</f>
        <v>3.1707979397806646E-4</v>
      </c>
      <c r="DQ71" s="267">
        <f>INDEX($BQ$60:$CD$74,MATCH($CW71,$L$60:$L$74,0),MATCH(DQ$61,$BQ$61:$CD$61,0))/INDEX(고양시_재차인원!$D$4:$H$35,MATCH("고양시",고양시_재차인원!$B$4:$B$35,0),MATCH($DN$60,고양시_재차인원!$D$4:$H$4,0))</f>
        <v>7.870491136022088E-3</v>
      </c>
      <c r="DR71" s="270">
        <f t="shared" si="33"/>
        <v>389.27850376547667</v>
      </c>
      <c r="DS71" s="270">
        <f t="shared" si="26"/>
        <v>3.929582097629788E-3</v>
      </c>
      <c r="DT71" s="270">
        <f t="shared" si="27"/>
        <v>1.0924238231410808</v>
      </c>
      <c r="DU71" s="270">
        <f t="shared" si="28"/>
        <v>24.997258800164563</v>
      </c>
      <c r="DW71" s="278" t="s">
        <v>169</v>
      </c>
      <c r="DX71" s="278" t="s">
        <v>169</v>
      </c>
      <c r="DY71" s="281">
        <f t="shared" si="41"/>
        <v>414.27576256564123</v>
      </c>
      <c r="DZ71" s="281">
        <f t="shared" si="42"/>
        <v>1.0963534052387105</v>
      </c>
      <c r="EB71" s="278" t="s">
        <v>170</v>
      </c>
      <c r="EC71" s="278" t="s">
        <v>170</v>
      </c>
      <c r="ED71" s="281">
        <f t="shared" si="45"/>
        <v>342.63011377477409</v>
      </c>
      <c r="EE71" s="281">
        <f t="shared" si="44"/>
        <v>0.90674793439015267</v>
      </c>
      <c r="EK71" s="420" t="s">
        <v>47</v>
      </c>
      <c r="EL71" s="420" t="s">
        <v>47</v>
      </c>
      <c r="EM71" s="420" t="s">
        <v>570</v>
      </c>
      <c r="EN71" s="420">
        <v>4861.8494000000001</v>
      </c>
      <c r="EO71" s="420">
        <v>0.50932407249705824</v>
      </c>
      <c r="EP71" s="421">
        <v>849010</v>
      </c>
      <c r="EQ71" s="422">
        <f t="shared" si="37"/>
        <v>127.76747182668575</v>
      </c>
      <c r="ER71" s="422">
        <f t="shared" si="38"/>
        <v>0.33812816358942266</v>
      </c>
      <c r="ES71">
        <v>0</v>
      </c>
      <c r="EU71" s="306" t="s">
        <v>47</v>
      </c>
      <c r="EV71" s="306" t="s">
        <v>47</v>
      </c>
      <c r="EW71" s="306" t="s">
        <v>570</v>
      </c>
      <c r="EX71" s="306">
        <v>4861.8494000000001</v>
      </c>
      <c r="EY71" s="306">
        <v>0.50932407249705824</v>
      </c>
      <c r="EZ71" s="307">
        <v>849010</v>
      </c>
      <c r="FA71" s="308">
        <f t="shared" si="39"/>
        <v>127.76747182668575</v>
      </c>
      <c r="FB71" s="308">
        <f t="shared" si="30"/>
        <v>0.33812816358942266</v>
      </c>
      <c r="FD71" s="101"/>
      <c r="FE71" s="101"/>
      <c r="FF71" s="101"/>
      <c r="FG71" s="101"/>
      <c r="FH71" s="101"/>
      <c r="FI71" s="374"/>
      <c r="FJ71" s="404"/>
      <c r="FK71" s="404"/>
    </row>
    <row r="72" spans="1:167" ht="25">
      <c r="A72" s="205" t="s">
        <v>170</v>
      </c>
      <c r="B72" s="205" t="s">
        <v>170</v>
      </c>
      <c r="C72" s="201">
        <f>$L39*KTDB_TripDistribution_2035!L$12</f>
        <v>102.54627652427045</v>
      </c>
      <c r="D72" s="201">
        <f>$L39*KTDB_TripDistribution_2035!M$12</f>
        <v>797.41352121965576</v>
      </c>
      <c r="E72" s="201">
        <f>$L39*KTDB_TripDistribution_2035!N$12</f>
        <v>35.34563589499124</v>
      </c>
      <c r="F72" s="201">
        <f>$L39*KTDB_TripDistribution_2035!O$12</f>
        <v>9.5852571918619955E-2</v>
      </c>
      <c r="G72" s="201">
        <f>$L39*KTDB_TripDistribution_2035!P$12</f>
        <v>0.27158228710275734</v>
      </c>
      <c r="H72" s="201">
        <f>$L39*KTDB_TripDistribution_2035!Q$12</f>
        <v>935.67286849793879</v>
      </c>
      <c r="I72" s="56"/>
      <c r="J72" s="56"/>
      <c r="K72" s="206" t="s">
        <v>170</v>
      </c>
      <c r="L72" s="206" t="s">
        <v>170</v>
      </c>
      <c r="M72" s="206">
        <f>INDEX($A$61:$H$74,MATCH($L72,$B$61:$B$74,0),MATCH($M$60,$A$61:$H$61,0))*고양시_Modal_split!C$3 * 0.01</f>
        <v>0.28712957426795727</v>
      </c>
      <c r="N72" s="206">
        <f>INDEX($A$61:$H$74,MATCH($L72,$B$61:$B$74,0),MATCH($M$60,$A$61:$H$61,0))*고양시_Modal_split!D$3 * 0.01</f>
        <v>48.227513849364399</v>
      </c>
      <c r="O72" s="206">
        <f>INDEX($A$61:$H$74,MATCH($L72,$B$61:$B$74,0),MATCH($M$60,$A$61:$H$61,0))*고양시_Modal_split!E$3 * 0.01</f>
        <v>5.8348831342309886</v>
      </c>
      <c r="P72" s="206">
        <f>INDEX($A$61:$H$74,MATCH($L72,$B$61:$B$74,0),MATCH($M$60,$A$61:$H$61,0))*고양시_Modal_split!F$3 * 0.01</f>
        <v>9.4034935572756009</v>
      </c>
      <c r="Q72" s="206">
        <f>INDEX($A$61:$H$74,MATCH($L72,$B$61:$B$74,0),MATCH($M$60,$A$61:$H$61,0))*고양시_Modal_split!G$3 * 0.01</f>
        <v>0.94342574402328805</v>
      </c>
      <c r="R72" s="206">
        <f>INDEX($A$61:$H$74,MATCH($L72,$B$61:$B$74,0),MATCH($M$60,$A$61:$H$61,0))*고양시_Modal_split!H$3 * 0.01</f>
        <v>1.0254627652427047E-2</v>
      </c>
      <c r="S72" s="206">
        <f>INDEX($A$61:$H$74,MATCH($L72,$B$61:$B$74,0),MATCH($M$60,$A$61:$H$61,0))*고양시_Modal_split!I$3 * 0.01</f>
        <v>2.8507864873747186</v>
      </c>
      <c r="T72" s="206">
        <f>INDEX($A$61:$H$74,MATCH($L72,$B$61:$B$74,0),MATCH($M$60,$A$61:$H$61,0))*고양시_Modal_split!J$3 * 0.01</f>
        <v>31.215086573987929</v>
      </c>
      <c r="U72" s="206">
        <f>INDEX($A$61:$H$74,MATCH($L72,$B$61:$B$74,0),MATCH($M$60,$A$61:$H$61,0))*고양시_Modal_split!K$3 * 0.01</f>
        <v>0.15381941478640568</v>
      </c>
      <c r="V72" s="206">
        <f>INDEX($A$61:$H$74,MATCH($L72,$B$61:$B$74,0),MATCH($M$60,$A$61:$H$61,0))*고양시_Modal_split!L$3 * 0.01</f>
        <v>3.0968975510329675</v>
      </c>
      <c r="W72" s="206">
        <f>INDEX($A$61:$H$74,MATCH($L72,$B$61:$B$74,0),MATCH($M$60,$A$61:$H$61,0))*고양시_Modal_split!M$3 * 0.01</f>
        <v>0.23585643600582201</v>
      </c>
      <c r="X72" s="206">
        <f>INDEX($A$61:$H$74,MATCH($L72,$B$61:$B$74,0),MATCH($M$60,$A$61:$H$61,0))*고양시_Modal_split!N$3 * 0.01</f>
        <v>0.10254627652427047</v>
      </c>
      <c r="Y72" s="206">
        <f>INDEX($A$61:$H$74,MATCH($L72,$B$61:$B$74,0),MATCH($M$60,$A$61:$H$61,0))*고양시_Modal_split!O$3 * 0.01</f>
        <v>0.18458329774368681</v>
      </c>
      <c r="Z72" s="209">
        <f>INDEX($A$61:$H$74,MATCH($L72,$B$61:$B$74,0),MATCH($M$60,$A$61:$H$61,0))*고양시_Modal_split!P$3 * 0.01</f>
        <v>102.54627652427045</v>
      </c>
      <c r="AA72" s="207">
        <f>INDEX($A$61:$H$74,MATCH($L72,$B$61:$B$74,0),MATCH($AA$60,$A$61:$H$61,0))*고양시_Modal_split!C$3 * 0.01</f>
        <v>2.2327578594150359</v>
      </c>
      <c r="AB72" s="207">
        <f>INDEX($A$61:$H$74,MATCH($L72,$B$61:$B$74,0),MATCH($AA$60,$A$61:$H$61,0))*고양시_Modal_split!D$3 * 0.01</f>
        <v>375.02357902960409</v>
      </c>
      <c r="AC72" s="207">
        <f>INDEX($A$61:$H$74,MATCH($L72,$B$61:$B$74,0),MATCH($AA$60,$A$61:$H$61,0))*고양시_Modal_split!E$3 * 0.01</f>
        <v>45.372829357398409</v>
      </c>
      <c r="AD72" s="207">
        <f>INDEX($A$61:$H$74,MATCH($L72,$B$61:$B$74,0),MATCH($AA$60,$A$61:$H$61,0))*고양시_Modal_split!F$3 * 0.01</f>
        <v>73.122819895842426</v>
      </c>
      <c r="AE72" s="207">
        <f>INDEX($A$61:$H$74,MATCH($L72,$B$61:$B$74,0),MATCH($AA$60,$A$61:$H$61,0))*고양시_Modal_split!G$3 * 0.01</f>
        <v>7.3362043952208333</v>
      </c>
      <c r="AF72" s="207">
        <f>INDEX($A$61:$H$74,MATCH($L72,$B$61:$B$74,0),MATCH($AA$60,$A$61:$H$61,0))*고양시_Modal_split!H$3 * 0.01</f>
        <v>7.9741352121965578E-2</v>
      </c>
      <c r="AG72" s="207">
        <f>INDEX($A$61:$H$74,MATCH($L72,$B$61:$B$74,0),MATCH($AA$60,$A$61:$H$61,0))*고양시_Modal_split!I$3 * 0.01</f>
        <v>22.168095889906432</v>
      </c>
      <c r="AH72" s="207">
        <f>INDEX($A$61:$H$74,MATCH($L72,$B$61:$B$74,0),MATCH($AA$60,$A$61:$H$61,0))*고양시_Modal_split!J$3 * 0.01</f>
        <v>242.73267585926322</v>
      </c>
      <c r="AI72" s="207">
        <f>INDEX($A$61:$H$74,MATCH($L72,$B$61:$B$74,0),MATCH($AA$60,$A$61:$H$61,0))*고양시_Modal_split!K$3 * 0.01</f>
        <v>1.1961202818294836</v>
      </c>
      <c r="AJ72" s="207">
        <f>INDEX($A$61:$H$74,MATCH($L72,$B$61:$B$74,0),MATCH($AA$60,$A$61:$H$61,0))*고양시_Modal_split!L$3 * 0.01</f>
        <v>24.081888340833604</v>
      </c>
      <c r="AK72" s="207">
        <f>INDEX($A$61:$H$74,MATCH($L72,$B$61:$B$74,0),MATCH($AA$60,$A$61:$H$61,0))*고양시_Modal_split!M$3 * 0.01</f>
        <v>1.8340510988052083</v>
      </c>
      <c r="AL72" s="207">
        <f>INDEX($A$61:$H$74,MATCH($L72,$B$61:$B$74,0),MATCH($AA$60,$A$61:$H$61,0))*고양시_Modal_split!N$3 * 0.01</f>
        <v>0.79741352121965581</v>
      </c>
      <c r="AM72" s="207">
        <f>INDEX($A$61:$H$74,MATCH($L72,$B$61:$B$74,0),MATCH($AA$60,$A$61:$H$61,0))*고양시_Modal_split!O$3 * 0.01</f>
        <v>1.4353443381953803</v>
      </c>
      <c r="AN72" s="207">
        <f>INDEX($A$61:$H$74,MATCH($L72,$B$61:$B$74,0),MATCH($AA$60,$A$61:$H$61,0))*고양시_Modal_split!P$3 * 0.01</f>
        <v>797.41352121965588</v>
      </c>
      <c r="AO72" s="303">
        <f>INDEX($A$61:$H$74,MATCH($L72,$B$61:$B$74,0),MATCH($AO$60,$A$61:$H$61,0))*고양시_Modal_split!C$3 * 0.01</f>
        <v>9.8967780505975475E-2</v>
      </c>
      <c r="AP72" s="303">
        <f>INDEX($A$61:$H$74,MATCH($L72,$B$61:$B$74,0),MATCH($AO$60,$A$61:$H$61,0))*고양시_Modal_split!D$3 * 0.01</f>
        <v>16.623052561414383</v>
      </c>
      <c r="AQ72" s="303">
        <f>INDEX($A$61:$H$74,MATCH($L72,$B$61:$B$74,0),MATCH($AO$60,$A$61:$H$61,0))*고양시_Modal_split!E$3 * 0.01</f>
        <v>2.0111666824250016</v>
      </c>
      <c r="AR72" s="303">
        <f>INDEX($A$61:$H$74,MATCH($L72,$B$61:$B$74,0),MATCH($AO$60,$A$61:$H$61,0))*고양시_Modal_split!F$3 * 0.01</f>
        <v>3.241194811570697</v>
      </c>
      <c r="AS72" s="303">
        <f>INDEX($A$61:$H$74,MATCH($L72,$B$61:$B$74,0),MATCH($AO$60,$A$61:$H$61,0))*고양시_Modal_split!G$3 * 0.01</f>
        <v>0.32517985023391938</v>
      </c>
      <c r="AT72" s="303">
        <f>INDEX($A$61:$H$74,MATCH($L72,$B$61:$B$74,0),MATCH($AO$60,$A$61:$H$61,0))*고양시_Modal_split!H$3 * 0.01</f>
        <v>3.5345635894991241E-3</v>
      </c>
      <c r="AU72" s="303">
        <f>INDEX($A$61:$H$74,MATCH($L72,$B$61:$B$74,0),MATCH($AO$60,$A$61:$H$61,0))*고양시_Modal_split!I$3 * 0.01</f>
        <v>0.98260867788075645</v>
      </c>
      <c r="AV72" s="303">
        <f>INDEX($A$61:$H$74,MATCH($L72,$B$61:$B$74,0),MATCH($AO$60,$A$61:$H$61,0))*고양시_Modal_split!J$3 * 0.01</f>
        <v>10.759211566435333</v>
      </c>
      <c r="AW72" s="303">
        <f>INDEX($A$61:$H$74,MATCH($L72,$B$61:$B$74,0),MATCH($AO$60,$A$61:$H$61,0))*고양시_Modal_split!K$3 * 0.01</f>
        <v>5.3018453842486858E-2</v>
      </c>
      <c r="AX72" s="303">
        <f>INDEX($A$61:$H$74,MATCH($L72,$B$61:$B$74,0),MATCH($AO$60,$A$61:$H$61,0))*고양시_Modal_split!L$3 * 0.01</f>
        <v>1.0674382040287353</v>
      </c>
      <c r="AY72" s="303">
        <f>INDEX($A$61:$H$74,MATCH($L72,$B$61:$B$74,0),MATCH($AO$60,$A$61:$H$61,0))*고양시_Modal_split!M$3 * 0.01</f>
        <v>8.1294962558479844E-2</v>
      </c>
      <c r="AZ72" s="303">
        <f>INDEX($A$61:$H$74,MATCH($L72,$B$61:$B$74,0),MATCH($AO$60,$A$61:$H$61,0))*고양시_Modal_split!N$3 * 0.01</f>
        <v>3.5345635894991241E-2</v>
      </c>
      <c r="BA72" s="207">
        <f>INDEX($A$61:$H$74,MATCH($L72,$B$61:$B$74,0),MATCH($AO$60,$A$61:$H$61,0))*고양시_Modal_split!O$3 * 0.01</f>
        <v>6.3622144610984227E-2</v>
      </c>
      <c r="BB72" s="207">
        <f>INDEX($A$61:$H$74,MATCH($L72,$B$61:$B$74,0),MATCH($AO$60,$A$61:$H$61,0))*고양시_Modal_split!P$3 * 0.01</f>
        <v>35.34563589499124</v>
      </c>
      <c r="BC72" s="207">
        <f>INDEX($A$61:$H$74,MATCH($L72,$B$61:$B$74,0),MATCH($BC$60,$A$61:$H$61,0))*고양시_Modal_split!C$3 * 0.01</f>
        <v>2.6838720137213585E-4</v>
      </c>
      <c r="BD72" s="207">
        <f>INDEX($A$61:$H$74,MATCH($L72,$B$61:$B$74,0),MATCH($BC$60,$A$61:$H$61,0))*고양시_Modal_split!D$3 * 0.01</f>
        <v>4.5079464573326969E-2</v>
      </c>
      <c r="BE72" s="207">
        <f>INDEX($A$61:$H$74,MATCH($L72,$B$61:$B$74,0),MATCH($BC$60,$A$61:$H$61,0))*고양시_Modal_split!E$3 * 0.01</f>
        <v>5.454011342169475E-3</v>
      </c>
      <c r="BF72" s="207">
        <f>INDEX($A$61:$H$74,MATCH($L72,$B$61:$B$74,0),MATCH($BC$60,$A$61:$H$61,0))*고양시_Modal_split!F$3 * 0.01</f>
        <v>8.7896808449374492E-3</v>
      </c>
      <c r="BG72" s="207">
        <f>INDEX($A$61:$H$74,MATCH($L72,$B$61:$B$74,0),MATCH($BC$60,$A$61:$H$61,0))*고양시_Modal_split!G$3 * 0.01</f>
        <v>8.8184366165130351E-4</v>
      </c>
      <c r="BH72" s="207">
        <f>INDEX($A$61:$H$74,MATCH($L72,$B$61:$B$74,0),MATCH($BC$60,$A$61:$H$61,0))*고양시_Modal_split!H$3 * 0.01</f>
        <v>9.5852571918619956E-6</v>
      </c>
      <c r="BI72" s="207">
        <f>INDEX($A$61:$H$74,MATCH($L72,$B$61:$B$74,0),MATCH($BC$60,$A$61:$H$61,0))*고양시_Modal_split!I$3 * 0.01</f>
        <v>2.6647014993376344E-3</v>
      </c>
      <c r="BJ72" s="207">
        <f>INDEX($A$61:$H$74,MATCH($L72,$B$61:$B$74,0),MATCH($BC$60,$A$61:$H$61,0))*고양시_Modal_split!J$3 * 0.01</f>
        <v>2.9177522892027918E-2</v>
      </c>
      <c r="BK72" s="207">
        <f>INDEX($A$61:$H$74,MATCH($L72,$B$61:$B$74,0),MATCH($BC$60,$A$61:$H$61,0))*고양시_Modal_split!K$3 * 0.01</f>
        <v>1.4377885787792991E-4</v>
      </c>
      <c r="BL72" s="207">
        <f>INDEX($A$61:$H$74,MATCH($L72,$B$61:$B$74,0),MATCH($BC$60,$A$61:$H$61,0))*고양시_Modal_split!L$3 * 0.01</f>
        <v>2.8947476719423226E-3</v>
      </c>
      <c r="BM72" s="207">
        <f>INDEX($A$61:$H$74,MATCH($L72,$B$61:$B$74,0),MATCH($BC$60,$A$61:$H$61,0))*고양시_Modal_split!M$3 * 0.01</f>
        <v>2.2046091541282588E-4</v>
      </c>
      <c r="BN72" s="207">
        <f>INDEX($A$61:$H$74,MATCH($L72,$B$61:$B$74,0),MATCH($BC$60,$A$61:$H$61,0))*고양시_Modal_split!N$3 * 0.01</f>
        <v>9.5852571918619969E-5</v>
      </c>
      <c r="BO72" s="207">
        <f>INDEX($A$61:$H$74,MATCH($L72,$B$61:$B$74,0),MATCH($BC$60,$A$61:$H$61,0))*고양시_Modal_split!O$3 * 0.01</f>
        <v>1.7253462945351593E-4</v>
      </c>
      <c r="BP72" s="207">
        <f>INDEX($A$61:$H$74,MATCH($L72,$B$61:$B$74,0),MATCH($BC$60,$A$61:$H$61,0))*고양시_Modal_split!P$3 * 0.01</f>
        <v>9.5852571918619955E-2</v>
      </c>
      <c r="BQ72" s="207">
        <f>INDEX($A$61:$H$74,MATCH($L72,$B$61:$B$74,0),MATCH($BQ$60,$A$61:$H$61,0))*고양시_Modal_split!C$3 * 0.01</f>
        <v>7.6043040388772045E-4</v>
      </c>
      <c r="BR72" s="207">
        <f>INDEX($A$61:$H$74,MATCH($L72,$B$61:$B$74,0),MATCH($BQ$60,$A$61:$H$61,0))*고양시_Modal_split!D$3 * 0.01</f>
        <v>0.12772514962442677</v>
      </c>
      <c r="BS72" s="207">
        <f>INDEX($A$61:$H$74,MATCH($L72,$B$61:$B$74,0),MATCH($BQ$60,$A$61:$H$61,0))*고양시_Modal_split!E$3 * 0.01</f>
        <v>1.5453032136146893E-2</v>
      </c>
      <c r="BT72" s="207">
        <f>INDEX($A$61:$H$74,MATCH($L72,$B$61:$B$74,0),MATCH($BQ$60,$A$61:$H$61,0))*고양시_Modal_split!F$3 * 0.01</f>
        <v>2.4904095727322849E-2</v>
      </c>
      <c r="BU72" s="207">
        <f>INDEX($A$61:$H$74,MATCH($L72,$B$61:$B$74,0),MATCH($BQ$60,$A$61:$H$61,0))*고양시_Modal_split!G$3 * 0.01</f>
        <v>2.4985570413453674E-3</v>
      </c>
      <c r="BV72" s="207">
        <f>INDEX($A$61:$H$74,MATCH($L72,$B$61:$B$74,0),MATCH($BQ$60,$A$61:$H$61,0))*고양시_Modal_split!H$3 * 0.01</f>
        <v>2.7158228710275734E-5</v>
      </c>
      <c r="BW72" s="207">
        <f>INDEX($A$61:$H$74,MATCH($L72,$B$61:$B$74,0),MATCH($BQ$60,$A$61:$H$61,0))*고양시_Modal_split!I$3 * 0.01</f>
        <v>7.549987581456653E-3</v>
      </c>
      <c r="BX72" s="207">
        <f>INDEX($A$61:$H$74,MATCH($L72,$B$61:$B$74,0),MATCH($BQ$60,$A$61:$H$61,0))*고양시_Modal_split!J$3 * 0.01</f>
        <v>8.2669648194079334E-2</v>
      </c>
      <c r="BY72" s="207">
        <f>INDEX($A$61:$H$74,MATCH($L72,$B$61:$B$74,0),MATCH($BQ$60,$A$61:$H$61,0))*고양시_Modal_split!K$3 * 0.01</f>
        <v>4.0737343065413599E-4</v>
      </c>
      <c r="BZ72" s="207">
        <f>INDEX($A$61:$H$74,MATCH($L72,$B$61:$B$74,0),MATCH($BQ$60,$A$61:$H$61,0))*고양시_Modal_split!L$3 * 0.01</f>
        <v>8.2017850705032713E-3</v>
      </c>
      <c r="CA72" s="207">
        <f>INDEX($A$61:$H$74,MATCH($L72,$B$61:$B$74,0),MATCH($BQ$60,$A$61:$H$61,0))*고양시_Modal_split!M$3 * 0.01</f>
        <v>6.2463926033634186E-4</v>
      </c>
      <c r="CB72" s="207">
        <f>INDEX($A$61:$H$74,MATCH($L72,$B$61:$B$74,0),MATCH($BQ$60,$A$61:$H$61,0))*고양시_Modal_split!N$3 * 0.01</f>
        <v>2.7158228710275734E-4</v>
      </c>
      <c r="CC72" s="207">
        <f>INDEX($A$61:$H$74,MATCH($L72,$B$61:$B$74,0),MATCH($BQ$60,$A$61:$H$61,0))*고양시_Modal_split!O$3 * 0.01</f>
        <v>4.8884811678496327E-4</v>
      </c>
      <c r="CD72" s="207">
        <f>INDEX($A$61:$H$74,MATCH($L72,$B$61:$B$74,0),MATCH($BQ$60,$A$61:$H$61,0))*고양시_Modal_split!P$3 * 0.01</f>
        <v>0.27158228710275734</v>
      </c>
      <c r="CE72" s="304">
        <f t="shared" si="31"/>
        <v>2.6198840317942285</v>
      </c>
      <c r="CF72" s="304">
        <f t="shared" si="13"/>
        <v>440.04695005458069</v>
      </c>
      <c r="CG72" s="304">
        <f t="shared" si="14"/>
        <v>53.239786217532703</v>
      </c>
      <c r="CH72" s="304">
        <f t="shared" si="15"/>
        <v>85.801202041260979</v>
      </c>
      <c r="CI72" s="304">
        <f t="shared" si="16"/>
        <v>8.6081903901810364</v>
      </c>
      <c r="CJ72" s="304">
        <f t="shared" si="17"/>
        <v>9.3567286849793874E-2</v>
      </c>
      <c r="CK72" s="304">
        <f t="shared" si="18"/>
        <v>26.0117057442427</v>
      </c>
      <c r="CL72" s="304">
        <f t="shared" si="19"/>
        <v>284.81882117077265</v>
      </c>
      <c r="CM72" s="304">
        <f t="shared" si="20"/>
        <v>1.4035093027469083</v>
      </c>
      <c r="CN72" s="304">
        <f t="shared" si="21"/>
        <v>28.257320628637753</v>
      </c>
      <c r="CO72" s="304">
        <f t="shared" si="22"/>
        <v>2.1520475975452591</v>
      </c>
      <c r="CP72" s="304">
        <f t="shared" si="23"/>
        <v>0.93567286849793896</v>
      </c>
      <c r="CQ72" s="304">
        <f t="shared" si="24"/>
        <v>1.6842111632962897</v>
      </c>
      <c r="CR72" s="304">
        <f t="shared" si="25"/>
        <v>935.67286849793891</v>
      </c>
      <c r="CS72" s="305">
        <f t="shared" si="32"/>
        <v>0</v>
      </c>
      <c r="CV72" s="267" t="s">
        <v>170</v>
      </c>
      <c r="CW72" s="267" t="s">
        <v>170</v>
      </c>
      <c r="CX72" s="267">
        <f>INDEX($M$60:$Z$74,MATCH($CW72,$L$60:$L$74,0),MATCH(CX$61,$M$61:$Z$61,0))/INDEX(고양시_재차인원!$D$4:$H$35,MATCH("고양시",고양시_재차인원!$B$4:$B$35,0),MATCH($CX$60,고양시_재차인원!$D$4:$H$4,0))</f>
        <v>43.060280222646782</v>
      </c>
      <c r="CY72" s="267">
        <f>INDEX($M$60:$Z$74,MATCH($CW72,$L$60:$L$74,0),MATCH(CY$61,$M$61:$Z$61,0))/INDEX(고양시_재차인원!$K$4:$O$20,MATCH("경기도",고양시_재차인원!$K$4:$K$20,0),MATCH($CY$61,고양시_재차인원!$K$4:$O$4,0))</f>
        <v>3.5618713624269009E-4</v>
      </c>
      <c r="CZ72" s="267">
        <f>INDEX($M$60:$Z$74,MATCH($CW72,$L$60:$L$74,0),MATCH(CZ$61,$M$61:$Z$61,0))/INDEX(고양시_재차인원!$K$4:$O$20,MATCH("경기도",고양시_재차인원!$K$4:$K$20,0),MATCH($CZ$61,고양시_재차인원!$K$4:$O$4,0))</f>
        <v>9.9020023875467822E-2</v>
      </c>
      <c r="DA72" s="267">
        <f>INDEX($M$60:$Z$74,MATCH($CW72,$L$60:$L$74,0),MATCH(DA$61,$M$61:$Z$61,0))/INDEX(고양시_재차인원!$D$4:$H$35,MATCH("고양시",고양시_재차인원!$B$4:$B$35,0),MATCH($CX$60,고양시_재차인원!$D$4:$H$4,0))</f>
        <v>2.7650870991365779</v>
      </c>
      <c r="DB72" s="267">
        <f>INDEX($AA$60:$AN$74,MATCH($CW72,$L$60:$L$74,0),MATCH(DB$61,$AA$61:$AN$61,0))/INDEX(고양시_재차인원!$D$4:$H$35,MATCH("고양시",고양시_재차인원!$B$4:$B$35,0),MATCH($DB$60,고양시_재차인원!$D$4:$H$4,0))</f>
        <v>265.97416952454194</v>
      </c>
      <c r="DC72" s="267">
        <f>INDEX($AA$60:$AN$74,MATCH($CW72,$L$60:$L$74,0),MATCH(DC$61,$AA$61:$AN$61,0))/INDEX(고양시_재차인원!$K$4:$O$20,MATCH("경기도",고양시_재차인원!$K$4:$K$20,0),MATCH($DC$61,고양시_재차인원!$K$4:$O$4,0))</f>
        <v>2.7697586704399299E-3</v>
      </c>
      <c r="DD72" s="267">
        <f>INDEX($AA$60:$AN$74,MATCH($CW72,$L$60:$L$74,0),MATCH(DD$61,$AA$61:$AN$61,0))/INDEX(고양시_재차인원!$K$4:$O$20,MATCH("경기도",고양시_재차인원!$K$4:$K$20,0),MATCH($DD$61,고양시_재차인원!$K$4:$O$4,0))</f>
        <v>0.76999291038230055</v>
      </c>
      <c r="DE72" s="267">
        <f>INDEX($AA$60:$AN$74,MATCH($CW72,$L$60:$L$74,0),MATCH(DE$61,$AA$61:$AN$61,0))/INDEX(고양시_재차인원!$D$4:$H$35,MATCH("고양시",고양시_재차인원!$B$4:$B$35,0),MATCH($DB$60,고양시_재차인원!$D$4:$H$4,0))</f>
        <v>17.079353433215324</v>
      </c>
      <c r="DF72" s="267">
        <f>INDEX($AO$60:$BB$74,MATCH($CW72,$L$60:$L$74,0),MATCH(DF$61,$AO$61:$BB$61,0))/INDEX(고양시_재차인원!$D$4:$H$35,MATCH("고양시",고양시_재차인원!$B$4:$B$35,0),MATCH($DF$60,고양시_재차인원!$D$4:$H$4,0))</f>
        <v>12.786963508780294</v>
      </c>
      <c r="DG72" s="267">
        <f>INDEX($AO$60:$BB$74,MATCH($CW72,$L$60:$L$74,0),MATCH(DG$61,$AO$61:$BB$61,0))/INDEX(고양시_재차인원!$K$4:$O$20,MATCH("경기도",고양시_재차인원!$K$4:$K$20,0),MATCH($DG$61,고양시_재차인원!$K$4:$O$4,0))</f>
        <v>1.227705310697855E-4</v>
      </c>
      <c r="DH72" s="267">
        <f>INDEX($AO$60:$BB$74,MATCH($CW72,$L$60:$L$74,0),MATCH(DH$61,$AO$61:$BB$61,0))/INDEX(고양시_재차인원!$K$4:$O$20,MATCH("경기도",고양시_재차인원!$K$4:$K$20,0),MATCH($DH$61,고양시_재차인원!$K$4:$O$4,0))</f>
        <v>3.4130207637400364E-2</v>
      </c>
      <c r="DI72" s="267">
        <f>INDEX($AO$60:$BB$74,MATCH($CW72,$L$60:$L$74,0),MATCH(DI$61,$AO$61:$BB$61,0))/INDEX(고양시_재차인원!$D$4:$H$35,MATCH("고양시",고양시_재차인원!$B$4:$B$35,0),MATCH($DF$60,고양시_재차인원!$D$4:$H$4,0))</f>
        <v>0.82110631079133489</v>
      </c>
      <c r="DJ72" s="267">
        <f>INDEX($BC$60:$BP$74,MATCH($CW72,$L$60:$L$74,0),MATCH(DJ$61,$BC$61:$BP$61,0))/INDEX(고양시_재차인원!$D$4:$H$35,MATCH("고양시",고양시_재차인원!$B$4:$B$35,0),MATCH($DJ$60,고양시_재차인원!$D$4:$H$4,0))</f>
        <v>3.3146665127446295E-2</v>
      </c>
      <c r="DK72" s="267">
        <f>INDEX($BC$60:$BP$74,MATCH($CW72,$L$60:$L$74,0),MATCH(DK$61,$BC$61:$BP$61,0))/INDEX(고양시_재차인원!$K$4:$O$20,MATCH("경기도",고양시_재차인원!$K$4:$K$20,0),MATCH($DK$61,고양시_재차인원!$K$4:$O$4,0))</f>
        <v>3.3293703340958654E-7</v>
      </c>
      <c r="DL72" s="267">
        <f>INDEX($BC$60:$BP$74,MATCH($CW72,$L$60:$L$74,0),MATCH(DL$61,$BC$61:$BP$61,0))/INDEX(고양시_재차인원!$K$4:$O$20,MATCH("경기도",고양시_재차인원!$K$4:$K$20,0),MATCH($DL$61,고양시_재차인원!$K$4:$O$4,0))</f>
        <v>9.2556495287865042E-5</v>
      </c>
      <c r="DM72" s="267">
        <f>INDEX($BC$60:$BP$74,MATCH($CW72,$L$60:$L$74,0),MATCH(DM$61,$BC$61:$BP$61,0))/INDEX(고양시_재차인원!$D$4:$H$35,MATCH("고양시",고양시_재차인원!$B$4:$B$35,0),MATCH($DJ$60,고양시_재차인원!$D$4:$H$4,0))</f>
        <v>2.1284909352517075E-3</v>
      </c>
      <c r="DN72" s="267">
        <f>INDEX($BQ$60:$CD$74,MATCH($CW72,$L$60:$L$74,0),MATCH(DN$61,$BQ$61:$CD$61,0))/INDEX(고양시_재차인원!$D$4:$H$35,MATCH("고양시",고양시_재차인원!$B$4:$B$35,0),MATCH($DN$60,고양시_재차인원!$D$4:$H$4,0))</f>
        <v>0.10136916636859268</v>
      </c>
      <c r="DO72" s="267">
        <f>INDEX($BQ$60:$CD$74,MATCH($CW72,$L$60:$L$74,0),MATCH(DO$61,$BQ$61:$CD$61,0))/INDEX(고양시_재차인원!$K$4:$O$20,MATCH("경기도",고양시_재차인원!$K$4:$K$20,0),MATCH($DO$61,고양시_재차인원!$K$4:$O$4,0))</f>
        <v>9.4332159466049789E-7</v>
      </c>
      <c r="DP72" s="267">
        <f>INDEX($BQ$60:$CD$74,MATCH($CW72,$L$60:$L$74,0),MATCH(DP$61,$BQ$61:$CD$61,0))/INDEX(고양시_재차인원!$K$4:$O$20,MATCH("경기도",고양시_재차인원!$K$4:$K$20,0),MATCH($DP$61,고양시_재차인원!$K$4:$O$4,0))</f>
        <v>2.6224340331561837E-4</v>
      </c>
      <c r="DQ72" s="267">
        <f>INDEX($BQ$60:$CD$74,MATCH($CW72,$L$60:$L$74,0),MATCH(DQ$61,$BQ$61:$CD$61,0))/INDEX(고양시_재차인원!$D$4:$H$35,MATCH("고양시",고양시_재차인원!$B$4:$B$35,0),MATCH($DN$60,고양시_재차인원!$D$4:$H$4,0))</f>
        <v>6.5093532305581514E-3</v>
      </c>
      <c r="DR72" s="270">
        <f t="shared" si="33"/>
        <v>321.95592908746505</v>
      </c>
      <c r="DS72" s="270">
        <f t="shared" si="26"/>
        <v>3.2499925963804755E-3</v>
      </c>
      <c r="DT72" s="270">
        <f t="shared" si="27"/>
        <v>0.90349794179377219</v>
      </c>
      <c r="DU72" s="270">
        <f t="shared" si="28"/>
        <v>20.674184687309051</v>
      </c>
      <c r="DW72" s="278" t="s">
        <v>170</v>
      </c>
      <c r="DX72" s="278" t="s">
        <v>170</v>
      </c>
      <c r="DY72" s="281">
        <f t="shared" si="41"/>
        <v>342.63011377477409</v>
      </c>
      <c r="DZ72" s="281">
        <f t="shared" si="42"/>
        <v>0.90674793439015267</v>
      </c>
      <c r="EB72" s="278" t="s">
        <v>171</v>
      </c>
      <c r="EC72" s="278" t="s">
        <v>171</v>
      </c>
      <c r="ED72" s="281">
        <f t="shared" si="45"/>
        <v>13.761004569520086</v>
      </c>
      <c r="EE72" s="281">
        <f t="shared" si="44"/>
        <v>3.6417588434004285E-2</v>
      </c>
      <c r="EK72" s="420" t="s">
        <v>47</v>
      </c>
      <c r="EL72" s="420" t="s">
        <v>47</v>
      </c>
      <c r="EM72" s="420" t="s">
        <v>571</v>
      </c>
      <c r="EN72" s="420">
        <v>2430.8498</v>
      </c>
      <c r="EO72" s="420">
        <v>0.25465418977491561</v>
      </c>
      <c r="EP72" s="421">
        <v>849011</v>
      </c>
      <c r="EQ72" s="422">
        <f t="shared" si="37"/>
        <v>63.881767571082044</v>
      </c>
      <c r="ER72" s="422">
        <f t="shared" si="38"/>
        <v>0.1690588727071051</v>
      </c>
      <c r="ES72">
        <v>0</v>
      </c>
      <c r="EU72" s="306" t="s">
        <v>47</v>
      </c>
      <c r="EV72" s="306" t="s">
        <v>47</v>
      </c>
      <c r="EW72" s="306" t="s">
        <v>571</v>
      </c>
      <c r="EX72" s="306">
        <v>2430.8498</v>
      </c>
      <c r="EY72" s="306">
        <v>0.25465418977491561</v>
      </c>
      <c r="EZ72" s="307">
        <v>849011</v>
      </c>
      <c r="FA72" s="308">
        <f t="shared" si="39"/>
        <v>63.881767571082044</v>
      </c>
      <c r="FB72" s="308">
        <f t="shared" si="30"/>
        <v>0.1690588727071051</v>
      </c>
      <c r="FD72" s="101"/>
      <c r="FE72" s="101"/>
      <c r="FF72" s="101"/>
      <c r="FG72" s="101"/>
      <c r="FH72" s="101"/>
      <c r="FI72" s="374"/>
      <c r="FJ72" s="404"/>
      <c r="FK72" s="404"/>
    </row>
    <row r="73" spans="1:167">
      <c r="A73" s="205" t="s">
        <v>171</v>
      </c>
      <c r="B73" s="205" t="s">
        <v>171</v>
      </c>
      <c r="C73" s="201">
        <f>$L40*KTDB_TripDistribution_2035!L$12</f>
        <v>4.1185515315368937</v>
      </c>
      <c r="D73" s="201">
        <f>$L40*KTDB_TripDistribution_2035!M$12</f>
        <v>32.026405934984339</v>
      </c>
      <c r="E73" s="201">
        <f>$L40*KTDB_TripDistribution_2035!N$12</f>
        <v>1.419581751600778</v>
      </c>
      <c r="F73" s="201">
        <f>$L40*KTDB_TripDistribution_2035!O$12</f>
        <v>3.8497132246800617E-3</v>
      </c>
      <c r="G73" s="201">
        <f>$L40*KTDB_TripDistribution_2035!P$12</f>
        <v>1.0907520803260207E-2</v>
      </c>
      <c r="H73" s="201">
        <f>$L40*KTDB_TripDistribution_2035!Q$12</f>
        <v>37.579296452149954</v>
      </c>
      <c r="I73" s="56"/>
      <c r="J73" s="56"/>
      <c r="K73" s="206" t="s">
        <v>171</v>
      </c>
      <c r="L73" s="206" t="s">
        <v>171</v>
      </c>
      <c r="M73" s="206">
        <f>INDEX($A$61:$H$74,MATCH($L73,$B$61:$B$74,0),MATCH($M$60,$A$61:$H$61,0))*고양시_Modal_split!C$3 * 0.01</f>
        <v>1.1531944288303302E-2</v>
      </c>
      <c r="N73" s="206">
        <f>INDEX($A$61:$H$74,MATCH($L73,$B$61:$B$74,0),MATCH($M$60,$A$61:$H$61,0))*고양시_Modal_split!D$3 * 0.01</f>
        <v>1.936954785281801</v>
      </c>
      <c r="O73" s="206">
        <f>INDEX($A$61:$H$74,MATCH($L73,$B$61:$B$74,0),MATCH($M$60,$A$61:$H$61,0))*고양시_Modal_split!E$3 * 0.01</f>
        <v>0.23434558214444923</v>
      </c>
      <c r="P73" s="206">
        <f>INDEX($A$61:$H$74,MATCH($L73,$B$61:$B$74,0),MATCH($M$60,$A$61:$H$61,0))*고양시_Modal_split!F$3 * 0.01</f>
        <v>0.37767117544193313</v>
      </c>
      <c r="Q73" s="206">
        <f>INDEX($A$61:$H$74,MATCH($L73,$B$61:$B$74,0),MATCH($M$60,$A$61:$H$61,0))*고양시_Modal_split!G$3 * 0.01</f>
        <v>3.7890674090139423E-2</v>
      </c>
      <c r="R73" s="206">
        <f>INDEX($A$61:$H$74,MATCH($L73,$B$61:$B$74,0),MATCH($M$60,$A$61:$H$61,0))*고양시_Modal_split!H$3 * 0.01</f>
        <v>4.1185515315368942E-4</v>
      </c>
      <c r="S73" s="206">
        <f>INDEX($A$61:$H$74,MATCH($L73,$B$61:$B$74,0),MATCH($M$60,$A$61:$H$61,0))*고양시_Modal_split!I$3 * 0.01</f>
        <v>0.11449573257672563</v>
      </c>
      <c r="T73" s="206">
        <f>INDEX($A$61:$H$74,MATCH($L73,$B$61:$B$74,0),MATCH($M$60,$A$61:$H$61,0))*고양시_Modal_split!J$3 * 0.01</f>
        <v>1.2536870861998306</v>
      </c>
      <c r="U73" s="206">
        <f>INDEX($A$61:$H$74,MATCH($L73,$B$61:$B$74,0),MATCH($M$60,$A$61:$H$61,0))*고양시_Modal_split!K$3 * 0.01</f>
        <v>6.1778272973053404E-3</v>
      </c>
      <c r="V73" s="206">
        <f>INDEX($A$61:$H$74,MATCH($L73,$B$61:$B$74,0),MATCH($M$60,$A$61:$H$61,0))*고양시_Modal_split!L$3 * 0.01</f>
        <v>0.1243802562524142</v>
      </c>
      <c r="W73" s="206">
        <f>INDEX($A$61:$H$74,MATCH($L73,$B$61:$B$74,0),MATCH($M$60,$A$61:$H$61,0))*고양시_Modal_split!M$3 * 0.01</f>
        <v>9.4726685225348557E-3</v>
      </c>
      <c r="X73" s="206">
        <f>INDEX($A$61:$H$74,MATCH($L73,$B$61:$B$74,0),MATCH($M$60,$A$61:$H$61,0))*고양시_Modal_split!N$3 * 0.01</f>
        <v>4.1185515315368942E-3</v>
      </c>
      <c r="Y73" s="206">
        <f>INDEX($A$61:$H$74,MATCH($L73,$B$61:$B$74,0),MATCH($M$60,$A$61:$H$61,0))*고양시_Modal_split!O$3 * 0.01</f>
        <v>7.4133927567664086E-3</v>
      </c>
      <c r="Z73" s="209">
        <f>INDEX($A$61:$H$74,MATCH($L73,$B$61:$B$74,0),MATCH($M$60,$A$61:$H$61,0))*고양시_Modal_split!P$3 * 0.01</f>
        <v>4.1185515315368937</v>
      </c>
      <c r="AA73" s="207">
        <f>INDEX($A$61:$H$74,MATCH($L73,$B$61:$B$74,0),MATCH($AA$60,$A$61:$H$61,0))*고양시_Modal_split!C$3 * 0.01</f>
        <v>8.967393661795614E-2</v>
      </c>
      <c r="AB73" s="207">
        <f>INDEX($A$61:$H$74,MATCH($L73,$B$61:$B$74,0),MATCH($AA$60,$A$61:$H$61,0))*고양시_Modal_split!D$3 * 0.01</f>
        <v>15.062018711223136</v>
      </c>
      <c r="AC73" s="207">
        <f>INDEX($A$61:$H$74,MATCH($L73,$B$61:$B$74,0),MATCH($AA$60,$A$61:$H$61,0))*고양시_Modal_split!E$3 * 0.01</f>
        <v>1.8223024977006088</v>
      </c>
      <c r="AD73" s="207">
        <f>INDEX($A$61:$H$74,MATCH($L73,$B$61:$B$74,0),MATCH($AA$60,$A$61:$H$61,0))*고양시_Modal_split!F$3 * 0.01</f>
        <v>2.9368214242380639</v>
      </c>
      <c r="AE73" s="207">
        <f>INDEX($A$61:$H$74,MATCH($L73,$B$61:$B$74,0),MATCH($AA$60,$A$61:$H$61,0))*고양시_Modal_split!G$3 * 0.01</f>
        <v>0.29464293460185592</v>
      </c>
      <c r="AF73" s="207">
        <f>INDEX($A$61:$H$74,MATCH($L73,$B$61:$B$74,0),MATCH($AA$60,$A$61:$H$61,0))*고양시_Modal_split!H$3 * 0.01</f>
        <v>3.2026405934984341E-3</v>
      </c>
      <c r="AG73" s="207">
        <f>INDEX($A$61:$H$74,MATCH($L73,$B$61:$B$74,0),MATCH($AA$60,$A$61:$H$61,0))*고양시_Modal_split!I$3 * 0.01</f>
        <v>0.8903340849925645</v>
      </c>
      <c r="AH73" s="207">
        <f>INDEX($A$61:$H$74,MATCH($L73,$B$61:$B$74,0),MATCH($AA$60,$A$61:$H$61,0))*고양시_Modal_split!J$3 * 0.01</f>
        <v>9.7488379666092335</v>
      </c>
      <c r="AI73" s="207">
        <f>INDEX($A$61:$H$74,MATCH($L73,$B$61:$B$74,0),MATCH($AA$60,$A$61:$H$61,0))*고양시_Modal_split!K$3 * 0.01</f>
        <v>4.8039608902476508E-2</v>
      </c>
      <c r="AJ73" s="207">
        <f>INDEX($A$61:$H$74,MATCH($L73,$B$61:$B$74,0),MATCH($AA$60,$A$61:$H$61,0))*고양시_Modal_split!L$3 * 0.01</f>
        <v>0.96719745923652711</v>
      </c>
      <c r="AK73" s="207">
        <f>INDEX($A$61:$H$74,MATCH($L73,$B$61:$B$74,0),MATCH($AA$60,$A$61:$H$61,0))*고양시_Modal_split!M$3 * 0.01</f>
        <v>7.366073365046398E-2</v>
      </c>
      <c r="AL73" s="207">
        <f>INDEX($A$61:$H$74,MATCH($L73,$B$61:$B$74,0),MATCH($AA$60,$A$61:$H$61,0))*고양시_Modal_split!N$3 * 0.01</f>
        <v>3.2026405934984341E-2</v>
      </c>
      <c r="AM73" s="207">
        <f>INDEX($A$61:$H$74,MATCH($L73,$B$61:$B$74,0),MATCH($AA$60,$A$61:$H$61,0))*고양시_Modal_split!O$3 * 0.01</f>
        <v>5.7647530682971813E-2</v>
      </c>
      <c r="AN73" s="207">
        <f>INDEX($A$61:$H$74,MATCH($L73,$B$61:$B$74,0),MATCH($AA$60,$A$61:$H$61,0))*고양시_Modal_split!P$3 * 0.01</f>
        <v>32.026405934984339</v>
      </c>
      <c r="AO73" s="303">
        <f>INDEX($A$61:$H$74,MATCH($L73,$B$61:$B$74,0),MATCH($AO$60,$A$61:$H$61,0))*고양시_Modal_split!C$3 * 0.01</f>
        <v>3.9748289044821781E-3</v>
      </c>
      <c r="AP73" s="303">
        <f>INDEX($A$61:$H$74,MATCH($L73,$B$61:$B$74,0),MATCH($AO$60,$A$61:$H$61,0))*고양시_Modal_split!D$3 * 0.01</f>
        <v>0.66762929777784596</v>
      </c>
      <c r="AQ73" s="303">
        <f>INDEX($A$61:$H$74,MATCH($L73,$B$61:$B$74,0),MATCH($AO$60,$A$61:$H$61,0))*고양시_Modal_split!E$3 * 0.01</f>
        <v>8.0774201666084275E-2</v>
      </c>
      <c r="AR73" s="303">
        <f>INDEX($A$61:$H$74,MATCH($L73,$B$61:$B$74,0),MATCH($AO$60,$A$61:$H$61,0))*고양시_Modal_split!F$3 * 0.01</f>
        <v>0.13017564662179135</v>
      </c>
      <c r="AS73" s="303">
        <f>INDEX($A$61:$H$74,MATCH($L73,$B$61:$B$74,0),MATCH($AO$60,$A$61:$H$61,0))*고양시_Modal_split!G$3 * 0.01</f>
        <v>1.3060152114727157E-2</v>
      </c>
      <c r="AT73" s="303">
        <f>INDEX($A$61:$H$74,MATCH($L73,$B$61:$B$74,0),MATCH($AO$60,$A$61:$H$61,0))*고양시_Modal_split!H$3 * 0.01</f>
        <v>1.4195817516007782E-4</v>
      </c>
      <c r="AU73" s="303">
        <f>INDEX($A$61:$H$74,MATCH($L73,$B$61:$B$74,0),MATCH($AO$60,$A$61:$H$61,0))*고양시_Modal_split!I$3 * 0.01</f>
        <v>3.9464372694501627E-2</v>
      </c>
      <c r="AV73" s="303">
        <f>INDEX($A$61:$H$74,MATCH($L73,$B$61:$B$74,0),MATCH($AO$60,$A$61:$H$61,0))*고양시_Modal_split!J$3 * 0.01</f>
        <v>0.43212068518727687</v>
      </c>
      <c r="AW73" s="303">
        <f>INDEX($A$61:$H$74,MATCH($L73,$B$61:$B$74,0),MATCH($AO$60,$A$61:$H$61,0))*고양시_Modal_split!K$3 * 0.01</f>
        <v>2.1293726274011671E-3</v>
      </c>
      <c r="AX73" s="303">
        <f>INDEX($A$61:$H$74,MATCH($L73,$B$61:$B$74,0),MATCH($AO$60,$A$61:$H$61,0))*고양시_Modal_split!L$3 * 0.01</f>
        <v>4.2871368898343497E-2</v>
      </c>
      <c r="AY73" s="303">
        <f>INDEX($A$61:$H$74,MATCH($L73,$B$61:$B$74,0),MATCH($AO$60,$A$61:$H$61,0))*고양시_Modal_split!M$3 * 0.01</f>
        <v>3.2650380286817892E-3</v>
      </c>
      <c r="AZ73" s="303">
        <f>INDEX($A$61:$H$74,MATCH($L73,$B$61:$B$74,0),MATCH($AO$60,$A$61:$H$61,0))*고양시_Modal_split!N$3 * 0.01</f>
        <v>1.419581751600778E-3</v>
      </c>
      <c r="BA73" s="207">
        <f>INDEX($A$61:$H$74,MATCH($L73,$B$61:$B$74,0),MATCH($AO$60,$A$61:$H$61,0))*고양시_Modal_split!O$3 * 0.01</f>
        <v>2.5552471528814003E-3</v>
      </c>
      <c r="BB73" s="207">
        <f>INDEX($A$61:$H$74,MATCH($L73,$B$61:$B$74,0),MATCH($AO$60,$A$61:$H$61,0))*고양시_Modal_split!P$3 * 0.01</f>
        <v>1.4195817516007783</v>
      </c>
      <c r="BC73" s="207">
        <f>INDEX($A$61:$H$74,MATCH($L73,$B$61:$B$74,0),MATCH($BC$60,$A$61:$H$61,0))*고양시_Modal_split!C$3 * 0.01</f>
        <v>1.0779197029104173E-5</v>
      </c>
      <c r="BD73" s="207">
        <f>INDEX($A$61:$H$74,MATCH($L73,$B$61:$B$74,0),MATCH($BC$60,$A$61:$H$61,0))*고양시_Modal_split!D$3 * 0.01</f>
        <v>1.8105201295670332E-3</v>
      </c>
      <c r="BE73" s="207">
        <f>INDEX($A$61:$H$74,MATCH($L73,$B$61:$B$74,0),MATCH($BC$60,$A$61:$H$61,0))*고양시_Modal_split!E$3 * 0.01</f>
        <v>2.1904868248429548E-4</v>
      </c>
      <c r="BF73" s="207">
        <f>INDEX($A$61:$H$74,MATCH($L73,$B$61:$B$74,0),MATCH($BC$60,$A$61:$H$61,0))*고양시_Modal_split!F$3 * 0.01</f>
        <v>3.5301870270316164E-4</v>
      </c>
      <c r="BG73" s="207">
        <f>INDEX($A$61:$H$74,MATCH($L73,$B$61:$B$74,0),MATCH($BC$60,$A$61:$H$61,0))*고양시_Modal_split!G$3 * 0.01</f>
        <v>3.5417361667056563E-5</v>
      </c>
      <c r="BH73" s="207">
        <f>INDEX($A$61:$H$74,MATCH($L73,$B$61:$B$74,0),MATCH($BC$60,$A$61:$H$61,0))*고양시_Modal_split!H$3 * 0.01</f>
        <v>3.8497132246800615E-7</v>
      </c>
      <c r="BI73" s="207">
        <f>INDEX($A$61:$H$74,MATCH($L73,$B$61:$B$74,0),MATCH($BC$60,$A$61:$H$61,0))*고양시_Modal_split!I$3 * 0.01</f>
        <v>1.0702202764610571E-4</v>
      </c>
      <c r="BJ73" s="207">
        <f>INDEX($A$61:$H$74,MATCH($L73,$B$61:$B$74,0),MATCH($BC$60,$A$61:$H$61,0))*고양시_Modal_split!J$3 * 0.01</f>
        <v>1.171852705592611E-3</v>
      </c>
      <c r="BK73" s="207">
        <f>INDEX($A$61:$H$74,MATCH($L73,$B$61:$B$74,0),MATCH($BC$60,$A$61:$H$61,0))*고양시_Modal_split!K$3 * 0.01</f>
        <v>5.7745698370200928E-6</v>
      </c>
      <c r="BL73" s="207">
        <f>INDEX($A$61:$H$74,MATCH($L73,$B$61:$B$74,0),MATCH($BC$60,$A$61:$H$61,0))*고양시_Modal_split!L$3 * 0.01</f>
        <v>1.1626133938533786E-4</v>
      </c>
      <c r="BM73" s="207">
        <f>INDEX($A$61:$H$74,MATCH($L73,$B$61:$B$74,0),MATCH($BC$60,$A$61:$H$61,0))*고양시_Modal_split!M$3 * 0.01</f>
        <v>8.8543404167641408E-6</v>
      </c>
      <c r="BN73" s="207">
        <f>INDEX($A$61:$H$74,MATCH($L73,$B$61:$B$74,0),MATCH($BC$60,$A$61:$H$61,0))*고양시_Modal_split!N$3 * 0.01</f>
        <v>3.8497132246800619E-6</v>
      </c>
      <c r="BO73" s="207">
        <f>INDEX($A$61:$H$74,MATCH($L73,$B$61:$B$74,0),MATCH($BC$60,$A$61:$H$61,0))*고양시_Modal_split!O$3 * 0.01</f>
        <v>6.9294838044241107E-6</v>
      </c>
      <c r="BP73" s="207">
        <f>INDEX($A$61:$H$74,MATCH($L73,$B$61:$B$74,0),MATCH($BC$60,$A$61:$H$61,0))*고양시_Modal_split!P$3 * 0.01</f>
        <v>3.8497132246800621E-3</v>
      </c>
      <c r="BQ73" s="207">
        <f>INDEX($A$61:$H$74,MATCH($L73,$B$61:$B$74,0),MATCH($BQ$60,$A$61:$H$61,0))*고양시_Modal_split!C$3 * 0.01</f>
        <v>3.0541058249128575E-5</v>
      </c>
      <c r="BR73" s="207">
        <f>INDEX($A$61:$H$74,MATCH($L73,$B$61:$B$74,0),MATCH($BQ$60,$A$61:$H$61,0))*고양시_Modal_split!D$3 * 0.01</f>
        <v>5.129807033773276E-3</v>
      </c>
      <c r="BS73" s="207">
        <f>INDEX($A$61:$H$74,MATCH($L73,$B$61:$B$74,0),MATCH($BQ$60,$A$61:$H$61,0))*고양시_Modal_split!E$3 * 0.01</f>
        <v>6.2063793370550576E-4</v>
      </c>
      <c r="BT73" s="207">
        <f>INDEX($A$61:$H$74,MATCH($L73,$B$61:$B$74,0),MATCH($BQ$60,$A$61:$H$61,0))*고양시_Modal_split!F$3 * 0.01</f>
        <v>1.000219657658961E-3</v>
      </c>
      <c r="BU73" s="207">
        <f>INDEX($A$61:$H$74,MATCH($L73,$B$61:$B$74,0),MATCH($BQ$60,$A$61:$H$61,0))*고양시_Modal_split!G$3 * 0.01</f>
        <v>1.003491913899939E-4</v>
      </c>
      <c r="BV73" s="207">
        <f>INDEX($A$61:$H$74,MATCH($L73,$B$61:$B$74,0),MATCH($BQ$60,$A$61:$H$61,0))*고양시_Modal_split!H$3 * 0.01</f>
        <v>1.0907520803260207E-6</v>
      </c>
      <c r="BW73" s="207">
        <f>INDEX($A$61:$H$74,MATCH($L73,$B$61:$B$74,0),MATCH($BQ$60,$A$61:$H$61,0))*고양시_Modal_split!I$3 * 0.01</f>
        <v>3.0322907833063377E-4</v>
      </c>
      <c r="BX73" s="207">
        <f>INDEX($A$61:$H$74,MATCH($L73,$B$61:$B$74,0),MATCH($BQ$60,$A$61:$H$61,0))*고양시_Modal_split!J$3 * 0.01</f>
        <v>3.3202493325124073E-3</v>
      </c>
      <c r="BY73" s="207">
        <f>INDEX($A$61:$H$74,MATCH($L73,$B$61:$B$74,0),MATCH($BQ$60,$A$61:$H$61,0))*고양시_Modal_split!K$3 * 0.01</f>
        <v>1.6361281204890311E-5</v>
      </c>
      <c r="BZ73" s="207">
        <f>INDEX($A$61:$H$74,MATCH($L73,$B$61:$B$74,0),MATCH($BQ$60,$A$61:$H$61,0))*고양시_Modal_split!L$3 * 0.01</f>
        <v>3.2940712825845826E-4</v>
      </c>
      <c r="CA73" s="207">
        <f>INDEX($A$61:$H$74,MATCH($L73,$B$61:$B$74,0),MATCH($BQ$60,$A$61:$H$61,0))*고양시_Modal_split!M$3 * 0.01</f>
        <v>2.5087297847498474E-5</v>
      </c>
      <c r="CB73" s="207">
        <f>INDEX($A$61:$H$74,MATCH($L73,$B$61:$B$74,0),MATCH($BQ$60,$A$61:$H$61,0))*고양시_Modal_split!N$3 * 0.01</f>
        <v>1.0907520803260207E-5</v>
      </c>
      <c r="CC73" s="207">
        <f>INDEX($A$61:$H$74,MATCH($L73,$B$61:$B$74,0),MATCH($BQ$60,$A$61:$H$61,0))*고양시_Modal_split!O$3 * 0.01</f>
        <v>1.9633537445868371E-5</v>
      </c>
      <c r="CD73" s="207">
        <f>INDEX($A$61:$H$74,MATCH($L73,$B$61:$B$74,0),MATCH($BQ$60,$A$61:$H$61,0))*고양시_Modal_split!P$3 * 0.01</f>
        <v>1.0907520803260207E-2</v>
      </c>
      <c r="CE73" s="304">
        <f t="shared" si="31"/>
        <v>0.10522203006601985</v>
      </c>
      <c r="CF73" s="304">
        <f t="shared" si="13"/>
        <v>17.673543121446123</v>
      </c>
      <c r="CG73" s="304">
        <f t="shared" si="14"/>
        <v>2.138261968127332</v>
      </c>
      <c r="CH73" s="304">
        <f t="shared" si="15"/>
        <v>3.4460214846621504</v>
      </c>
      <c r="CI73" s="304">
        <f t="shared" si="16"/>
        <v>0.34572952735977958</v>
      </c>
      <c r="CJ73" s="304">
        <f t="shared" si="17"/>
        <v>3.7579296452149953E-3</v>
      </c>
      <c r="CK73" s="304">
        <f t="shared" si="18"/>
        <v>1.0447044413697684</v>
      </c>
      <c r="CL73" s="304">
        <f t="shared" si="19"/>
        <v>11.439137840034446</v>
      </c>
      <c r="CM73" s="304">
        <f t="shared" si="20"/>
        <v>5.6368944678224932E-2</v>
      </c>
      <c r="CN73" s="304">
        <f t="shared" si="21"/>
        <v>1.1348947528549285</v>
      </c>
      <c r="CO73" s="304">
        <f t="shared" si="22"/>
        <v>8.6432381839944894E-2</v>
      </c>
      <c r="CP73" s="304">
        <f t="shared" si="23"/>
        <v>3.7579296452149955E-2</v>
      </c>
      <c r="CQ73" s="304">
        <f t="shared" si="24"/>
        <v>6.7642733613869924E-2</v>
      </c>
      <c r="CR73" s="304">
        <f t="shared" si="25"/>
        <v>37.579296452149954</v>
      </c>
      <c r="CS73" s="305">
        <f t="shared" si="32"/>
        <v>0</v>
      </c>
      <c r="CV73" s="267" t="s">
        <v>171</v>
      </c>
      <c r="CW73" s="267" t="s">
        <v>171</v>
      </c>
      <c r="CX73" s="267">
        <f>INDEX($M$60:$Z$74,MATCH($CW73,$L$60:$L$74,0),MATCH(CX$61,$M$61:$Z$61,0))/INDEX(고양시_재차인원!$D$4:$H$35,MATCH("고양시",고양시_재차인원!$B$4:$B$35,0),MATCH($CX$60,고양시_재차인원!$D$4:$H$4,0))</f>
        <v>1.7294239154301794</v>
      </c>
      <c r="CY73" s="267">
        <f>INDEX($M$60:$Z$74,MATCH($CW73,$L$60:$L$74,0),MATCH(CY$61,$M$61:$Z$61,0))/INDEX(고양시_재차인원!$K$4:$O$20,MATCH("경기도",고양시_재차인원!$K$4:$K$20,0),MATCH($CY$61,고양시_재차인원!$K$4:$O$4,0))</f>
        <v>1.4305493336356007E-5</v>
      </c>
      <c r="CZ73" s="267">
        <f>INDEX($M$60:$Z$74,MATCH($CW73,$L$60:$L$74,0),MATCH(CZ$61,$M$61:$Z$61,0))/INDEX(고양시_재차인원!$K$4:$O$20,MATCH("경기도",고양시_재차인원!$K$4:$K$20,0),MATCH($CZ$61,고양시_재차인원!$K$4:$O$4,0))</f>
        <v>3.9769271475069692E-3</v>
      </c>
      <c r="DA73" s="267">
        <f>INDEX($M$60:$Z$74,MATCH($CW73,$L$60:$L$74,0),MATCH(DA$61,$M$61:$Z$61,0))/INDEX(고양시_재차인원!$D$4:$H$35,MATCH("고양시",고양시_재차인원!$B$4:$B$35,0),MATCH($CX$60,고양시_재차인원!$D$4:$H$4,0))</f>
        <v>0.1110538002253698</v>
      </c>
      <c r="DB73" s="267">
        <f>INDEX($AA$60:$AN$74,MATCH($CW73,$L$60:$L$74,0),MATCH(DB$61,$AA$61:$AN$61,0))/INDEX(고양시_재차인원!$D$4:$H$35,MATCH("고양시",고양시_재차인원!$B$4:$B$35,0),MATCH($DB$60,고양시_재차인원!$D$4:$H$4,0))</f>
        <v>10.682282773917118</v>
      </c>
      <c r="DC73" s="267">
        <f>INDEX($AA$60:$AN$74,MATCH($CW73,$L$60:$L$74,0),MATCH(DC$61,$AA$61:$AN$61,0))/INDEX(고양시_재차인원!$K$4:$O$20,MATCH("경기도",고양시_재차인원!$K$4:$K$20,0),MATCH($DC$61,고양시_재차인원!$K$4:$O$4,0))</f>
        <v>1.1124142387976499E-4</v>
      </c>
      <c r="DD73" s="267">
        <f>INDEX($AA$60:$AN$74,MATCH($CW73,$L$60:$L$74,0),MATCH(DD$61,$AA$61:$AN$61,0))/INDEX(고양시_재차인원!$K$4:$O$20,MATCH("경기도",고양시_재차인원!$K$4:$K$20,0),MATCH($DD$61,고양시_재차인원!$K$4:$O$4,0))</f>
        <v>3.0925115838574661E-2</v>
      </c>
      <c r="DE73" s="267">
        <f>INDEX($AA$60:$AN$74,MATCH($CW73,$L$60:$L$74,0),MATCH(DE$61,$AA$61:$AN$61,0))/INDEX(고양시_재차인원!$D$4:$H$35,MATCH("고양시",고양시_재차인원!$B$4:$B$35,0),MATCH($DB$60,고양시_재차인원!$D$4:$H$4,0))</f>
        <v>0.68595564484860083</v>
      </c>
      <c r="DF73" s="267">
        <f>INDEX($AO$60:$BB$74,MATCH($CW73,$L$60:$L$74,0),MATCH(DF$61,$AO$61:$BB$61,0))/INDEX(고양시_재차인원!$D$4:$H$35,MATCH("고양시",고양시_재차인원!$B$4:$B$35,0),MATCH($DF$60,고양시_재차인원!$D$4:$H$4,0))</f>
        <v>0.51356099829065072</v>
      </c>
      <c r="DG73" s="267">
        <f>INDEX($AO$60:$BB$74,MATCH($CW73,$L$60:$L$74,0),MATCH(DG$61,$AO$61:$BB$61,0))/INDEX(고양시_재차인원!$K$4:$O$20,MATCH("경기도",고양시_재차인원!$K$4:$K$20,0),MATCH($DG$61,고양시_재차인원!$K$4:$O$4,0))</f>
        <v>4.9308153928474406E-6</v>
      </c>
      <c r="DH73" s="267">
        <f>INDEX($AO$60:$BB$74,MATCH($CW73,$L$60:$L$74,0),MATCH(DH$61,$AO$61:$BB$61,0))/INDEX(고양시_재차인원!$K$4:$O$20,MATCH("경기도",고양시_재차인원!$K$4:$K$20,0),MATCH($DH$61,고양시_재차인원!$K$4:$O$4,0))</f>
        <v>1.3707666792115883E-3</v>
      </c>
      <c r="DI73" s="267">
        <f>INDEX($AO$60:$BB$74,MATCH($CW73,$L$60:$L$74,0),MATCH(DI$61,$AO$61:$BB$61,0))/INDEX(고양시_재차인원!$D$4:$H$35,MATCH("고양시",고양시_재차인원!$B$4:$B$35,0),MATCH($DF$60,고양시_재차인원!$D$4:$H$4,0))</f>
        <v>3.297797607564884E-2</v>
      </c>
      <c r="DJ73" s="267">
        <f>INDEX($BC$60:$BP$74,MATCH($CW73,$L$60:$L$74,0),MATCH(DJ$61,$BC$61:$BP$61,0))/INDEX(고양시_재차인원!$D$4:$H$35,MATCH("고양시",고양시_재차인원!$B$4:$B$35,0),MATCH($DJ$60,고양시_재차인원!$D$4:$H$4,0))</f>
        <v>1.3312648011522302E-3</v>
      </c>
      <c r="DK73" s="267">
        <f>INDEX($BC$60:$BP$74,MATCH($CW73,$L$60:$L$74,0),MATCH(DK$61,$BC$61:$BP$61,0))/INDEX(고양시_재차인원!$K$4:$O$20,MATCH("경기도",고양시_재차인원!$K$4:$K$20,0),MATCH($DK$61,고양시_재차인원!$K$4:$O$4,0))</f>
        <v>1.3371702760264194E-8</v>
      </c>
      <c r="DL73" s="267">
        <f>INDEX($BC$60:$BP$74,MATCH($CW73,$L$60:$L$74,0),MATCH(DL$61,$BC$61:$BP$61,0))/INDEX(고양시_재차인원!$K$4:$O$20,MATCH("경기도",고양시_재차인원!$K$4:$K$20,0),MATCH($DL$61,고양시_재차인원!$K$4:$O$4,0))</f>
        <v>3.7173333673534461E-6</v>
      </c>
      <c r="DM73" s="267">
        <f>INDEX($BC$60:$BP$74,MATCH($CW73,$L$60:$L$74,0),MATCH(DM$61,$BC$61:$BP$61,0))/INDEX(고양시_재차인원!$D$4:$H$35,MATCH("고양시",고양시_재차인원!$B$4:$B$35,0),MATCH($DJ$60,고양시_재차인원!$D$4:$H$4,0))</f>
        <v>8.5486278959807241E-5</v>
      </c>
      <c r="DN73" s="267">
        <f>INDEX($BQ$60:$CD$74,MATCH($CW73,$L$60:$L$74,0),MATCH(DN$61,$BQ$61:$CD$61,0))/INDEX(고양시_재차인원!$D$4:$H$35,MATCH("고양시",고양시_재차인원!$B$4:$B$35,0),MATCH($DN$60,고양시_재차인원!$D$4:$H$4,0))</f>
        <v>4.0712754236295837E-3</v>
      </c>
      <c r="DO73" s="267">
        <f>INDEX($BQ$60:$CD$74,MATCH($CW73,$L$60:$L$74,0),MATCH(DO$61,$BQ$61:$CD$61,0))/INDEX(고양시_재차인원!$K$4:$O$20,MATCH("경기도",고양시_재차인원!$K$4:$K$20,0),MATCH($DO$61,고양시_재차인원!$K$4:$O$4,0))</f>
        <v>3.7886491154081997E-8</v>
      </c>
      <c r="DP73" s="267">
        <f>INDEX($BQ$60:$CD$74,MATCH($CW73,$L$60:$L$74,0),MATCH(DP$61,$BQ$61:$CD$61,0))/INDEX(고양시_재차인원!$K$4:$O$20,MATCH("경기도",고양시_재차인원!$K$4:$K$20,0),MATCH($DP$61,고양시_재차인원!$K$4:$O$4,0))</f>
        <v>1.0532444540834797E-5</v>
      </c>
      <c r="DQ73" s="267">
        <f>INDEX($BQ$60:$CD$74,MATCH($CW73,$L$60:$L$74,0),MATCH(DQ$61,$BQ$61:$CD$61,0))/INDEX(고양시_재차인원!$D$4:$H$35,MATCH("고양시",고양시_재차인원!$B$4:$B$35,0),MATCH($DN$60,고양시_재차인원!$D$4:$H$4,0))</f>
        <v>2.6143422877655418E-4</v>
      </c>
      <c r="DR73" s="270">
        <f t="shared" si="33"/>
        <v>12.930670227862731</v>
      </c>
      <c r="DS73" s="270">
        <f t="shared" si="26"/>
        <v>1.3052899080288278E-4</v>
      </c>
      <c r="DT73" s="270">
        <f t="shared" si="27"/>
        <v>3.6287059443201403E-2</v>
      </c>
      <c r="DU73" s="270">
        <f t="shared" si="28"/>
        <v>0.83033434165735576</v>
      </c>
      <c r="DW73" s="278" t="s">
        <v>171</v>
      </c>
      <c r="DX73" s="278" t="s">
        <v>171</v>
      </c>
      <c r="DY73" s="281">
        <f t="shared" si="41"/>
        <v>13.761004569520086</v>
      </c>
      <c r="DZ73" s="281">
        <f t="shared" si="42"/>
        <v>3.6417588434004285E-2</v>
      </c>
      <c r="EB73" s="278" t="s">
        <v>26</v>
      </c>
      <c r="EC73" s="278" t="s">
        <v>26</v>
      </c>
      <c r="ED73" s="281">
        <f t="shared" si="45"/>
        <v>5920.4963409776155</v>
      </c>
      <c r="EE73" s="281">
        <f t="shared" si="44"/>
        <v>15.668201982020747</v>
      </c>
      <c r="EK73" s="420" t="s">
        <v>47</v>
      </c>
      <c r="EL73" s="420" t="s">
        <v>47</v>
      </c>
      <c r="EM73" s="420" t="s">
        <v>572</v>
      </c>
      <c r="EN73" s="420">
        <v>2252.9902000000002</v>
      </c>
      <c r="EO73" s="420">
        <v>0.23602173772802626</v>
      </c>
      <c r="EP73" s="421">
        <v>849012</v>
      </c>
      <c r="EQ73" s="422">
        <f t="shared" si="37"/>
        <v>59.207687902529251</v>
      </c>
      <c r="ER73" s="422">
        <f t="shared" si="38"/>
        <v>0.15668923001007931</v>
      </c>
      <c r="ES73">
        <v>0</v>
      </c>
      <c r="EU73" s="306" t="s">
        <v>47</v>
      </c>
      <c r="EV73" s="306" t="s">
        <v>47</v>
      </c>
      <c r="EW73" s="306" t="s">
        <v>572</v>
      </c>
      <c r="EX73" s="306">
        <v>2252.9902000000002</v>
      </c>
      <c r="EY73" s="306">
        <v>0.23602173772802626</v>
      </c>
      <c r="EZ73" s="307">
        <v>849012</v>
      </c>
      <c r="FA73" s="308">
        <f t="shared" si="39"/>
        <v>59.207687902529251</v>
      </c>
      <c r="FB73" s="308">
        <f t="shared" si="30"/>
        <v>0.15668923001007931</v>
      </c>
      <c r="FD73" s="101"/>
      <c r="FE73" s="101"/>
      <c r="FF73" s="101"/>
      <c r="FG73" s="101"/>
      <c r="FH73" s="101"/>
      <c r="FI73" s="374"/>
      <c r="FJ73" s="404"/>
      <c r="FK73" s="404"/>
    </row>
    <row r="74" spans="1:167">
      <c r="A74" s="205" t="s">
        <v>26</v>
      </c>
      <c r="B74" s="205" t="s">
        <v>26</v>
      </c>
      <c r="C74" s="201">
        <f>$L41*KTDB_TripDistribution_2035!L$12</f>
        <v>1771.9541585358486</v>
      </c>
      <c r="D74" s="201">
        <f>$L41*KTDB_TripDistribution_2035!M$12</f>
        <v>13778.951834135702</v>
      </c>
      <c r="E74" s="201">
        <f>$L41*KTDB_TripDistribution_2035!N$12</f>
        <v>610.75690539968411</v>
      </c>
      <c r="F74" s="201">
        <f>$L41*KTDB_TripDistribution_2035!O$12</f>
        <v>1.6562899129482895</v>
      </c>
      <c r="G74" s="201">
        <f>$L41*KTDB_TripDistribution_2035!P$12</f>
        <v>4.6928214200201683</v>
      </c>
      <c r="H74" s="201">
        <f>$L41*KTDB_TripDistribution_2035!Q$12</f>
        <v>16168.012009404203</v>
      </c>
      <c r="I74" t="b">
        <f>H74=$K$41</f>
        <v>1</v>
      </c>
      <c r="J74" s="230">
        <f>CR74</f>
        <v>16168.012009404203</v>
      </c>
      <c r="K74" s="206" t="s">
        <v>26</v>
      </c>
      <c r="L74" s="206" t="s">
        <v>26</v>
      </c>
      <c r="M74" s="206">
        <f>INDEX($A$61:$H$74,MATCH($L74,$B$61:$B$74,0),MATCH($M$60,$A$61:$H$61,0))*고양시_Modal_split!C$3 * 0.01</f>
        <v>4.9614716439003761</v>
      </c>
      <c r="N74" s="206">
        <f>INDEX($A$61:$H$74,MATCH($L74,$B$61:$B$74,0),MATCH($M$60,$A$61:$H$61,0))*고양시_Modal_split!D$3 * 0.01</f>
        <v>833.35004075940958</v>
      </c>
      <c r="O74" s="206">
        <f>INDEX($A$61:$H$74,MATCH($L74,$B$61:$B$74,0),MATCH($M$60,$A$61:$H$61,0))*고양시_Modal_split!E$3 * 0.01</f>
        <v>100.82419162068979</v>
      </c>
      <c r="P74" s="206">
        <f>INDEX($A$61:$H$74,MATCH($L74,$B$61:$B$74,0),MATCH($M$60,$A$61:$H$61,0))*고양시_Modal_split!F$3 * 0.01</f>
        <v>162.48819633773732</v>
      </c>
      <c r="Q74" s="206">
        <f>INDEX($A$61:$H$74,MATCH($L74,$B$61:$B$74,0),MATCH($M$60,$A$61:$H$61,0))*고양시_Modal_split!G$3 * 0.01</f>
        <v>16.301978258529804</v>
      </c>
      <c r="R74" s="206">
        <f>INDEX($A$61:$H$74,MATCH($L74,$B$61:$B$74,0),MATCH($M$60,$A$61:$H$61,0))*고양시_Modal_split!H$3 * 0.01</f>
        <v>0.17719541585358486</v>
      </c>
      <c r="S74" s="206">
        <f>INDEX($A$61:$H$74,MATCH($L74,$B$61:$B$74,0),MATCH($M$60,$A$61:$H$61,0))*고양시_Modal_split!I$3 * 0.01</f>
        <v>49.260325607296593</v>
      </c>
      <c r="T74" s="206">
        <f>INDEX($A$61:$H$74,MATCH($L74,$B$61:$B$74,0),MATCH($M$60,$A$61:$H$61,0))*고양시_Modal_split!J$3 * 0.01</f>
        <v>539.38284585831241</v>
      </c>
      <c r="U74" s="206">
        <f>INDEX($A$61:$H$74,MATCH($L74,$B$61:$B$74,0),MATCH($M$60,$A$61:$H$61,0))*고양시_Modal_split!K$3 * 0.01</f>
        <v>2.6579312378037732</v>
      </c>
      <c r="V74" s="206">
        <f>INDEX($A$61:$H$74,MATCH($L74,$B$61:$B$74,0),MATCH($M$60,$A$61:$H$61,0))*고양시_Modal_split!L$3 * 0.01</f>
        <v>53.513015587782633</v>
      </c>
      <c r="W74" s="206">
        <f>INDEX($A$61:$H$74,MATCH($L74,$B$61:$B$74,0),MATCH($M$60,$A$61:$H$61,0))*고양시_Modal_split!M$3 * 0.01</f>
        <v>4.075494564632451</v>
      </c>
      <c r="X74" s="206">
        <f>INDEX($A$61:$H$74,MATCH($L74,$B$61:$B$74,0),MATCH($M$60,$A$61:$H$61,0))*고양시_Modal_split!N$3 * 0.01</f>
        <v>1.7719541585358487</v>
      </c>
      <c r="Y74" s="206">
        <f>INDEX($A$61:$H$74,MATCH($L74,$B$61:$B$74,0),MATCH($M$60,$A$61:$H$61,0))*고양시_Modal_split!O$3 * 0.01</f>
        <v>3.1895174853645272</v>
      </c>
      <c r="Z74" s="209">
        <f>INDEX($A$61:$H$74,MATCH($L74,$B$61:$B$74,0),MATCH($M$60,$A$61:$H$61,0))*고양시_Modal_split!P$3 * 0.01</f>
        <v>1771.9541585358486</v>
      </c>
      <c r="AA74" s="207">
        <f>INDEX($A$61:$H$74,MATCH($L74,$B$61:$B$74,0),MATCH($AA$60,$A$61:$H$61,0))*고양시_Modal_split!C$3 * 0.01</f>
        <v>38.581065135579962</v>
      </c>
      <c r="AB74" s="207">
        <f>INDEX($A$61:$H$74,MATCH($L74,$B$61:$B$74,0),MATCH($AA$60,$A$61:$H$61,0))*고양시_Modal_split!D$3 * 0.01</f>
        <v>6480.2410475940214</v>
      </c>
      <c r="AC74" s="207">
        <f>INDEX($A$61:$H$74,MATCH($L74,$B$61:$B$74,0),MATCH($AA$60,$A$61:$H$61,0))*고양시_Modal_split!E$3 * 0.01</f>
        <v>784.02235936232137</v>
      </c>
      <c r="AD74" s="207">
        <f>INDEX($A$61:$H$74,MATCH($L74,$B$61:$B$74,0),MATCH($AA$60,$A$61:$H$61,0))*고양시_Modal_split!F$3 * 0.01</f>
        <v>1263.5298831902439</v>
      </c>
      <c r="AE74" s="207">
        <f>INDEX($A$61:$H$74,MATCH($L74,$B$61:$B$74,0),MATCH($AA$60,$A$61:$H$61,0))*고양시_Modal_split!G$3 * 0.01</f>
        <v>126.76635687404845</v>
      </c>
      <c r="AF74" s="207">
        <f>INDEX($A$61:$H$74,MATCH($L74,$B$61:$B$74,0),MATCH($AA$60,$A$61:$H$61,0))*고양시_Modal_split!H$3 * 0.01</f>
        <v>1.3778951834135702</v>
      </c>
      <c r="AG74" s="207">
        <f>INDEX($A$61:$H$74,MATCH($L74,$B$61:$B$74,0),MATCH($AA$60,$A$61:$H$61,0))*고양시_Modal_split!I$3 * 0.01</f>
        <v>383.05486098897251</v>
      </c>
      <c r="AH74" s="207">
        <f>INDEX($A$61:$H$74,MATCH($L74,$B$61:$B$74,0),MATCH($AA$60,$A$61:$H$61,0))*고양시_Modal_split!J$3 * 0.01</f>
        <v>4194.3129383109081</v>
      </c>
      <c r="AI74" s="207">
        <f>INDEX($A$61:$H$74,MATCH($L74,$B$61:$B$74,0),MATCH($AA$60,$A$61:$H$61,0))*고양시_Modal_split!K$3 * 0.01</f>
        <v>20.668427751203552</v>
      </c>
      <c r="AJ74" s="207">
        <f>INDEX($A$61:$H$74,MATCH($L74,$B$61:$B$74,0),MATCH($AA$60,$A$61:$H$61,0))*고양시_Modal_split!L$3 * 0.01</f>
        <v>416.12434539089816</v>
      </c>
      <c r="AK74" s="207">
        <f>INDEX($A$61:$H$74,MATCH($L74,$B$61:$B$74,0),MATCH($AA$60,$A$61:$H$61,0))*고양시_Modal_split!M$3 * 0.01</f>
        <v>31.691589218512114</v>
      </c>
      <c r="AL74" s="207">
        <f>INDEX($A$61:$H$74,MATCH($L74,$B$61:$B$74,0),MATCH($AA$60,$A$61:$H$61,0))*고양시_Modal_split!N$3 * 0.01</f>
        <v>13.778951834135704</v>
      </c>
      <c r="AM74" s="207">
        <f>INDEX($A$61:$H$74,MATCH($L74,$B$61:$B$74,0),MATCH($AA$60,$A$61:$H$61,0))*고양시_Modal_split!O$3 * 0.01</f>
        <v>24.802113301444262</v>
      </c>
      <c r="AN74" s="207">
        <f>INDEX($A$61:$H$74,MATCH($L74,$B$61:$B$74,0),MATCH($AA$60,$A$61:$H$61,0))*고양시_Modal_split!P$3 * 0.01</f>
        <v>13778.951834135702</v>
      </c>
      <c r="AO74" s="303">
        <f>INDEX($A$61:$H$74,MATCH($L74,$B$61:$B$74,0),MATCH($AO$60,$A$61:$H$61,0))*고양시_Modal_split!C$3 * 0.01</f>
        <v>1.7101193351191153</v>
      </c>
      <c r="AP74" s="303">
        <f>INDEX($A$61:$H$74,MATCH($L74,$B$61:$B$74,0),MATCH($AO$60,$A$61:$H$61,0))*고양시_Modal_split!D$3 * 0.01</f>
        <v>287.23897260947149</v>
      </c>
      <c r="AQ74" s="303">
        <f>INDEX($A$61:$H$74,MATCH($L74,$B$61:$B$74,0),MATCH($AO$60,$A$61:$H$61,0))*고양시_Modal_split!E$3 * 0.01</f>
        <v>34.752067917242023</v>
      </c>
      <c r="AR74" s="303">
        <f>INDEX($A$61:$H$74,MATCH($L74,$B$61:$B$74,0),MATCH($AO$60,$A$61:$H$61,0))*고양시_Modal_split!F$3 * 0.01</f>
        <v>56.006408225151034</v>
      </c>
      <c r="AS74" s="303">
        <f>INDEX($A$61:$H$74,MATCH($L74,$B$61:$B$74,0),MATCH($AO$60,$A$61:$H$61,0))*고양시_Modal_split!G$3 * 0.01</f>
        <v>5.6189635296770941</v>
      </c>
      <c r="AT74" s="303">
        <f>INDEX($A$61:$H$74,MATCH($L74,$B$61:$B$74,0),MATCH($AO$60,$A$61:$H$61,0))*고양시_Modal_split!H$3 * 0.01</f>
        <v>6.1075690539968419E-2</v>
      </c>
      <c r="AU74" s="303">
        <f>INDEX($A$61:$H$74,MATCH($L74,$B$61:$B$74,0),MATCH($AO$60,$A$61:$H$61,0))*고양시_Modal_split!I$3 * 0.01</f>
        <v>16.979041970111219</v>
      </c>
      <c r="AV74" s="303">
        <f>INDEX($A$61:$H$74,MATCH($L74,$B$61:$B$74,0),MATCH($AO$60,$A$61:$H$61,0))*고양시_Modal_split!J$3 * 0.01</f>
        <v>185.91440200366387</v>
      </c>
      <c r="AW74" s="303">
        <f>INDEX($A$61:$H$74,MATCH($L74,$B$61:$B$74,0),MATCH($AO$60,$A$61:$H$61,0))*고양시_Modal_split!K$3 * 0.01</f>
        <v>0.91613535809952606</v>
      </c>
      <c r="AX74" s="303">
        <f>INDEX($A$61:$H$74,MATCH($L74,$B$61:$B$74,0),MATCH($AO$60,$A$61:$H$61,0))*고양시_Modal_split!L$3 * 0.01</f>
        <v>18.444858543070463</v>
      </c>
      <c r="AY74" s="303">
        <f>INDEX($A$61:$H$74,MATCH($L74,$B$61:$B$74,0),MATCH($AO$60,$A$61:$H$61,0))*고양시_Modal_split!M$3 * 0.01</f>
        <v>1.4047408824192735</v>
      </c>
      <c r="AZ74" s="303">
        <f>INDEX($A$61:$H$74,MATCH($L74,$B$61:$B$74,0),MATCH($AO$60,$A$61:$H$61,0))*고양시_Modal_split!N$3 * 0.01</f>
        <v>0.61075690539968419</v>
      </c>
      <c r="BA74" s="207">
        <f>INDEX($A$61:$H$74,MATCH($L74,$B$61:$B$74,0),MATCH($AO$60,$A$61:$H$61,0))*고양시_Modal_split!O$3 * 0.01</f>
        <v>1.0993624297194313</v>
      </c>
      <c r="BB74" s="207">
        <f>INDEX($A$61:$H$74,MATCH($L74,$B$61:$B$74,0),MATCH($AO$60,$A$61:$H$61,0))*고양시_Modal_split!P$3 * 0.01</f>
        <v>610.75690539968411</v>
      </c>
      <c r="BC74" s="207">
        <f>INDEX($A$61:$H$74,MATCH($L74,$B$61:$B$74,0),MATCH($BC$60,$A$61:$H$61,0))*고양시_Modal_split!C$3 * 0.01</f>
        <v>4.6376117562552102E-3</v>
      </c>
      <c r="BD74" s="207">
        <f>INDEX($A$61:$H$74,MATCH($L74,$B$61:$B$74,0),MATCH($BC$60,$A$61:$H$61,0))*고양시_Modal_split!D$3 * 0.01</f>
        <v>0.77895314605958066</v>
      </c>
      <c r="BE74" s="207">
        <f>INDEX($A$61:$H$74,MATCH($L74,$B$61:$B$74,0),MATCH($BC$60,$A$61:$H$61,0))*고양시_Modal_split!E$3 * 0.01</f>
        <v>9.4242896046757674E-2</v>
      </c>
      <c r="BF74" s="207">
        <f>INDEX($A$61:$H$74,MATCH($L74,$B$61:$B$74,0),MATCH($BC$60,$A$61:$H$61,0))*고양시_Modal_split!F$3 * 0.01</f>
        <v>0.15188178501735813</v>
      </c>
      <c r="BG74" s="207">
        <f>INDEX($A$61:$H$74,MATCH($L74,$B$61:$B$74,0),MATCH($BC$60,$A$61:$H$61,0))*고양시_Modal_split!G$3 * 0.01</f>
        <v>1.5237867199124263E-2</v>
      </c>
      <c r="BH74" s="207">
        <f>INDEX($A$61:$H$74,MATCH($L74,$B$61:$B$74,0),MATCH($BC$60,$A$61:$H$61,0))*고양시_Modal_split!H$3 * 0.01</f>
        <v>1.6562899129482896E-4</v>
      </c>
      <c r="BI74" s="207">
        <f>INDEX($A$61:$H$74,MATCH($L74,$B$61:$B$74,0),MATCH($BC$60,$A$61:$H$61,0))*고양시_Modal_split!I$3 * 0.01</f>
        <v>4.6044859579962447E-2</v>
      </c>
      <c r="BJ74" s="207">
        <f>INDEX($A$61:$H$74,MATCH($L74,$B$61:$B$74,0),MATCH($BC$60,$A$61:$H$61,0))*고양시_Modal_split!J$3 * 0.01</f>
        <v>0.5041746495014594</v>
      </c>
      <c r="BK74" s="207">
        <f>INDEX($A$61:$H$74,MATCH($L74,$B$61:$B$74,0),MATCH($BC$60,$A$61:$H$61,0))*고양시_Modal_split!K$3 * 0.01</f>
        <v>2.484434869422434E-3</v>
      </c>
      <c r="BL74" s="207">
        <f>INDEX($A$61:$H$74,MATCH($L74,$B$61:$B$74,0),MATCH($BC$60,$A$61:$H$61,0))*고양시_Modal_split!L$3 * 0.01</f>
        <v>5.0019955371038344E-2</v>
      </c>
      <c r="BM74" s="207">
        <f>INDEX($A$61:$H$74,MATCH($L74,$B$61:$B$74,0),MATCH($BC$60,$A$61:$H$61,0))*고양시_Modal_split!M$3 * 0.01</f>
        <v>3.8094667997810657E-3</v>
      </c>
      <c r="BN74" s="207">
        <f>INDEX($A$61:$H$74,MATCH($L74,$B$61:$B$74,0),MATCH($BC$60,$A$61:$H$61,0))*고양시_Modal_split!N$3 * 0.01</f>
        <v>1.6562899129482897E-3</v>
      </c>
      <c r="BO74" s="207">
        <f>INDEX($A$61:$H$74,MATCH($L74,$B$61:$B$74,0),MATCH($BC$60,$A$61:$H$61,0))*고양시_Modal_split!O$3 * 0.01</f>
        <v>2.9813218433069211E-3</v>
      </c>
      <c r="BP74" s="207">
        <f>INDEX($A$61:$H$74,MATCH($L74,$B$61:$B$74,0),MATCH($BC$60,$A$61:$H$61,0))*고양시_Modal_split!P$3 * 0.01</f>
        <v>1.6562899129482895</v>
      </c>
      <c r="BQ74" s="207">
        <f>INDEX($A$61:$H$74,MATCH($L74,$B$61:$B$74,0),MATCH($BQ$60,$A$61:$H$61,0))*고양시_Modal_split!C$3 * 0.01</f>
        <v>1.313989997605647E-2</v>
      </c>
      <c r="BR74" s="207">
        <f>INDEX($A$61:$H$74,MATCH($L74,$B$61:$B$74,0),MATCH($BQ$60,$A$61:$H$61,0))*고양시_Modal_split!D$3 * 0.01</f>
        <v>2.2070339138354855</v>
      </c>
      <c r="BS74" s="207">
        <f>INDEX($A$61:$H$74,MATCH($L74,$B$61:$B$74,0),MATCH($BQ$60,$A$61:$H$61,0))*고양시_Modal_split!E$3 * 0.01</f>
        <v>0.26702153879914758</v>
      </c>
      <c r="BT74" s="207">
        <f>INDEX($A$61:$H$74,MATCH($L74,$B$61:$B$74,0),MATCH($BQ$60,$A$61:$H$61,0))*고양시_Modal_split!F$3 * 0.01</f>
        <v>0.43033172421584942</v>
      </c>
      <c r="BU74" s="207">
        <f>INDEX($A$61:$H$74,MATCH($L74,$B$61:$B$74,0),MATCH($BQ$60,$A$61:$H$61,0))*고양시_Modal_split!G$3 * 0.01</f>
        <v>4.3173957064185545E-2</v>
      </c>
      <c r="BV74" s="207">
        <f>INDEX($A$61:$H$74,MATCH($L74,$B$61:$B$74,0),MATCH($BQ$60,$A$61:$H$61,0))*고양시_Modal_split!H$3 * 0.01</f>
        <v>4.6928214200201687E-4</v>
      </c>
      <c r="BW74" s="207">
        <f>INDEX($A$61:$H$74,MATCH($L74,$B$61:$B$74,0),MATCH($BQ$60,$A$61:$H$61,0))*고양시_Modal_split!I$3 * 0.01</f>
        <v>0.13046043547656067</v>
      </c>
      <c r="BX74" s="207">
        <f>INDEX($A$61:$H$74,MATCH($L74,$B$61:$B$74,0),MATCH($BQ$60,$A$61:$H$61,0))*고양시_Modal_split!J$3 * 0.01</f>
        <v>1.4284948402541395</v>
      </c>
      <c r="BY74" s="207">
        <f>INDEX($A$61:$H$74,MATCH($L74,$B$61:$B$74,0),MATCH($BQ$60,$A$61:$H$61,0))*고양시_Modal_split!K$3 * 0.01</f>
        <v>7.0392321300302516E-3</v>
      </c>
      <c r="BZ74" s="207">
        <f>INDEX($A$61:$H$74,MATCH($L74,$B$61:$B$74,0),MATCH($BQ$60,$A$61:$H$61,0))*고양시_Modal_split!L$3 * 0.01</f>
        <v>0.1417232068846091</v>
      </c>
      <c r="CA74" s="207">
        <f>INDEX($A$61:$H$74,MATCH($L74,$B$61:$B$74,0),MATCH($BQ$60,$A$61:$H$61,0))*고양시_Modal_split!M$3 * 0.01</f>
        <v>1.0793489266046386E-2</v>
      </c>
      <c r="CB74" s="207">
        <f>INDEX($A$61:$H$74,MATCH($L74,$B$61:$B$74,0),MATCH($BQ$60,$A$61:$H$61,0))*고양시_Modal_split!N$3 * 0.01</f>
        <v>4.6928214200201686E-3</v>
      </c>
      <c r="CC74" s="207">
        <f>INDEX($A$61:$H$74,MATCH($L74,$B$61:$B$74,0),MATCH($BQ$60,$A$61:$H$61,0))*고양시_Modal_split!O$3 * 0.01</f>
        <v>8.4470785560363023E-3</v>
      </c>
      <c r="CD74" s="207">
        <f>INDEX($A$61:$H$74,MATCH($L74,$B$61:$B$74,0),MATCH($BQ$60,$A$61:$H$61,0))*고양시_Modal_split!P$3 * 0.01</f>
        <v>4.6928214200201683</v>
      </c>
      <c r="CE74" s="304">
        <f t="shared" si="31"/>
        <v>45.270433626331766</v>
      </c>
      <c r="CF74" s="304">
        <f t="shared" si="13"/>
        <v>7603.8160480227971</v>
      </c>
      <c r="CG74" s="304">
        <f t="shared" si="14"/>
        <v>919.95988333509911</v>
      </c>
      <c r="CH74" s="304">
        <f t="shared" si="15"/>
        <v>1482.6067012623655</v>
      </c>
      <c r="CI74" s="304">
        <f t="shared" si="16"/>
        <v>148.74571048651867</v>
      </c>
      <c r="CJ74" s="304">
        <f t="shared" si="17"/>
        <v>1.6168012009404202</v>
      </c>
      <c r="CK74" s="304">
        <f t="shared" si="18"/>
        <v>449.47073386143683</v>
      </c>
      <c r="CL74" s="304">
        <f t="shared" si="19"/>
        <v>4921.5428556626393</v>
      </c>
      <c r="CM74" s="304">
        <f t="shared" si="20"/>
        <v>24.252018014106305</v>
      </c>
      <c r="CN74" s="304">
        <f t="shared" si="21"/>
        <v>488.2739626840069</v>
      </c>
      <c r="CO74" s="304">
        <f t="shared" si="22"/>
        <v>37.186427621629669</v>
      </c>
      <c r="CP74" s="304">
        <f t="shared" si="23"/>
        <v>16.168012009404201</v>
      </c>
      <c r="CQ74" s="304">
        <f t="shared" si="24"/>
        <v>29.102421616927561</v>
      </c>
      <c r="CR74" s="304">
        <f t="shared" si="25"/>
        <v>16168.012009404203</v>
      </c>
      <c r="CS74" s="305">
        <f t="shared" si="32"/>
        <v>0</v>
      </c>
      <c r="CV74" s="267" t="s">
        <v>26</v>
      </c>
      <c r="CW74" s="267" t="s">
        <v>26</v>
      </c>
      <c r="CX74" s="267">
        <f>INDEX($M$60:$Z$74,MATCH($CW74,$L$60:$L$74,0),MATCH(CX$61,$M$61:$Z$61,0))/INDEX(고양시_재차인원!$D$4:$H$35,MATCH("고양시",고양시_재차인원!$B$4:$B$35,0),MATCH($CX$60,고양시_재차인원!$D$4:$H$4,0))</f>
        <v>744.06253639232989</v>
      </c>
      <c r="CY74" s="267">
        <f>INDEX($M$60:$Z$74,MATCH($CW74,$L$60:$L$74,0),MATCH(CY$61,$M$61:$Z$61,0))/INDEX(고양시_재차인원!$K$4:$O$20,MATCH("경기도",고양시_재차인원!$K$4:$K$20,0),MATCH($CY$61,고양시_재차인원!$K$4:$O$4,0))</f>
        <v>6.1547556739696028E-3</v>
      </c>
      <c r="CZ74" s="267">
        <f>INDEX($M$60:$Z$74,MATCH($CW74,$L$60:$L$74,0),MATCH(CZ$61,$M$61:$Z$61,0))/INDEX(고양시_재차인원!$K$4:$O$20,MATCH("경기도",고양시_재차인원!$K$4:$K$20,0),MATCH($CZ$61,고양시_재차인원!$K$4:$O$4,0))</f>
        <v>1.7110220773635496</v>
      </c>
      <c r="DA74" s="267">
        <f>INDEX($M$60:$Z$74,MATCH($CW74,$L$60:$L$74,0),MATCH(DA$61,$M$61:$Z$61,0))/INDEX(고양시_재차인원!$D$4:$H$35,MATCH("고양시",고양시_재차인원!$B$4:$B$35,0),MATCH($CX$60,고양시_재차인원!$D$4:$H$4,0))</f>
        <v>47.779478203377344</v>
      </c>
      <c r="DB74" s="267">
        <f>INDEX($AA$60:$AN$74,MATCH($CW74,$L$60:$L$74,0),MATCH(DB$61,$AA$61:$AN$61,0))/INDEX(고양시_재차인원!$D$4:$H$35,MATCH("고양시",고양시_재차인원!$B$4:$B$35,0),MATCH($DB$60,고양시_재차인원!$D$4:$H$4,0))</f>
        <v>4595.9156365915051</v>
      </c>
      <c r="DC74" s="267">
        <f>INDEX($AA$60:$AN$74,MATCH($CW74,$L$60:$L$74,0),MATCH(DC$61,$AA$61:$AN$61,0))/INDEX(고양시_재차인원!$K$4:$O$20,MATCH("경기도",고양시_재차인원!$K$4:$K$20,0),MATCH($DC$61,고양시_재차인원!$K$4:$O$4,0))</f>
        <v>4.7860200882722137E-2</v>
      </c>
      <c r="DD74" s="267">
        <f>INDEX($AA$60:$AN$74,MATCH($CW74,$L$60:$L$74,0),MATCH(DD$61,$AA$61:$AN$61,0))/INDEX(고양시_재차인원!$K$4:$O$20,MATCH("경기도",고양시_재차인원!$K$4:$K$20,0),MATCH($DD$61,고양시_재차인원!$K$4:$O$4,0))</f>
        <v>13.305135845396753</v>
      </c>
      <c r="DE74" s="267">
        <f>INDEX($AA$60:$AN$74,MATCH($CW74,$L$60:$L$74,0),MATCH(DE$61,$AA$61:$AN$61,0))/INDEX(고양시_재차인원!$D$4:$H$35,MATCH("고양시",고양시_재차인원!$B$4:$B$35,0),MATCH($DB$60,고양시_재차인원!$D$4:$H$4,0))</f>
        <v>295.12364921340298</v>
      </c>
      <c r="DF74" s="267">
        <f>INDEX($AO$60:$BB$74,MATCH($CW74,$L$60:$L$74,0),MATCH(DF$61,$AO$61:$BB$61,0))/INDEX(고양시_재차인원!$D$4:$H$35,MATCH("고양시",고양시_재차인원!$B$4:$B$35,0),MATCH($DF$60,고양시_재차인원!$D$4:$H$4,0))</f>
        <v>220.95305585343959</v>
      </c>
      <c r="DG74" s="267">
        <f>INDEX($AO$60:$BB$74,MATCH($CW74,$L$60:$L$74,0),MATCH(DG$61,$AO$61:$BB$61,0))/INDEX(고양시_재차인원!$K$4:$O$20,MATCH("경기도",고양시_재차인원!$K$4:$K$20,0),MATCH($DG$61,고양시_재차인원!$K$4:$O$4,0))</f>
        <v>2.1214203035765343E-3</v>
      </c>
      <c r="DH74" s="267">
        <f>INDEX($AO$60:$BB$74,MATCH($CW74,$L$60:$L$74,0),MATCH(DH$61,$AO$61:$BB$61,0))/INDEX(고양시_재차인원!$K$4:$O$20,MATCH("경기도",고양시_재차인원!$K$4:$K$20,0),MATCH($DH$61,고양시_재차인원!$K$4:$O$4,0))</f>
        <v>0.5897548443942765</v>
      </c>
      <c r="DI74" s="267">
        <f>INDEX($AO$60:$BB$74,MATCH($CW74,$L$60:$L$74,0),MATCH(DI$61,$AO$61:$BB$61,0))/INDEX(고양시_재차인원!$D$4:$H$35,MATCH("고양시",고양시_재차인원!$B$4:$B$35,0),MATCH($DF$60,고양시_재차인원!$D$4:$H$4,0))</f>
        <v>14.188352725438817</v>
      </c>
      <c r="DJ74" s="267">
        <f>INDEX($BC$60:$BP$74,MATCH($CW74,$L$60:$L$74,0),MATCH(DJ$61,$BC$61:$BP$61,0))/INDEX(고양시_재차인원!$D$4:$H$35,MATCH("고양시",고양시_재차인원!$B$4:$B$35,0),MATCH($DJ$60,고양시_재차인원!$D$4:$H$4,0))</f>
        <v>0.57275966622027985</v>
      </c>
      <c r="DK74" s="267">
        <f>INDEX($BC$60:$BP$74,MATCH($CW74,$L$60:$L$74,0),MATCH(DK$61,$BC$61:$BP$61,0))/INDEX(고양시_재차인원!$K$4:$O$20,MATCH("경기도",고양시_재차인원!$K$4:$K$20,0),MATCH($DK$61,고양시_재차인원!$K$4:$O$4,0))</f>
        <v>5.753004213088884E-6</v>
      </c>
      <c r="DL74" s="267">
        <f>INDEX($BC$60:$BP$74,MATCH($CW74,$L$60:$L$74,0),MATCH(DL$61,$BC$61:$BP$61,0))/INDEX(고양시_재차인원!$K$4:$O$20,MATCH("경기도",고양시_재차인원!$K$4:$K$20,0),MATCH($DL$61,고양시_재차인원!$K$4:$O$4,0))</f>
        <v>1.5993351712387095E-3</v>
      </c>
      <c r="DM74" s="267">
        <f>INDEX($BC$60:$BP$74,MATCH($CW74,$L$60:$L$74,0),MATCH(DM$61,$BC$61:$BP$61,0))/INDEX(고양시_재차인원!$D$4:$H$35,MATCH("고양시",고양시_재차인원!$B$4:$B$35,0),MATCH($DJ$60,고양시_재차인원!$D$4:$H$4,0))</f>
        <v>3.6779378949292896E-2</v>
      </c>
      <c r="DN74" s="267">
        <f>INDEX($BQ$60:$CD$74,MATCH($CW74,$L$60:$L$74,0),MATCH(DN$61,$BQ$61:$CD$61,0))/INDEX(고양시_재차인원!$D$4:$H$35,MATCH("고양시",고양시_재차인원!$B$4:$B$35,0),MATCH($DN$60,고양시_재차인원!$D$4:$H$4,0))</f>
        <v>1.7516142173297504</v>
      </c>
      <c r="DO74" s="267">
        <f>INDEX($BQ$60:$CD$74,MATCH($CW74,$L$60:$L$74,0),MATCH(DO$61,$BQ$61:$CD$61,0))/INDEX(고양시_재차인원!$K$4:$O$20,MATCH("경기도",고양시_재차인원!$K$4:$K$20,0),MATCH($DO$61,고양시_재차인원!$K$4:$O$4,0))</f>
        <v>1.6300178603751888E-5</v>
      </c>
      <c r="DP74" s="267">
        <f>INDEX($BQ$60:$CD$74,MATCH($CW74,$L$60:$L$74,0),MATCH(DP$61,$BQ$61:$CD$61,0))/INDEX(고양시_재차인원!$K$4:$O$20,MATCH("경기도",고양시_재차인원!$K$4:$K$20,0),MATCH($DP$61,고양시_재차인원!$K$4:$O$4,0))</f>
        <v>4.5314496518430239E-3</v>
      </c>
      <c r="DQ74" s="267">
        <f>INDEX($BQ$60:$CD$74,MATCH($CW74,$L$60:$L$74,0),MATCH(DQ$61,$BQ$61:$CD$61,0))/INDEX(고양시_재차인원!$D$4:$H$35,MATCH("고양시",고양시_재차인원!$B$4:$B$35,0),MATCH($DN$60,고양시_재차인원!$D$4:$H$4,0))</f>
        <v>0.11247873562270563</v>
      </c>
      <c r="DR74" s="270">
        <f t="shared" si="33"/>
        <v>5563.2556027208248</v>
      </c>
      <c r="DS74" s="270">
        <f t="shared" si="26"/>
        <v>5.6158430043085114E-2</v>
      </c>
      <c r="DT74" s="270">
        <f t="shared" si="27"/>
        <v>15.612043551977662</v>
      </c>
      <c r="DU74" s="270">
        <f t="shared" si="28"/>
        <v>357.24073825679108</v>
      </c>
      <c r="DW74" s="278" t="s">
        <v>26</v>
      </c>
      <c r="DX74" s="278" t="s">
        <v>26</v>
      </c>
      <c r="DY74" s="281">
        <f t="shared" ref="DY74" si="46">DR74+DU74</f>
        <v>5920.4963409776155</v>
      </c>
      <c r="DZ74" s="281">
        <f t="shared" ref="DZ74" si="47">DS74+DT74</f>
        <v>15.668201982020747</v>
      </c>
      <c r="ED74" s="334">
        <f>SUM(ED62:ED72)-ED73</f>
        <v>0</v>
      </c>
      <c r="EE74" s="230" t="b">
        <f>SUM(EE62:EE72)=EE73</f>
        <v>1</v>
      </c>
      <c r="EK74" s="420" t="s">
        <v>169</v>
      </c>
      <c r="EL74" s="420" t="s">
        <v>169</v>
      </c>
      <c r="EM74" s="420" t="s">
        <v>575</v>
      </c>
      <c r="EN74" s="420">
        <v>5756.5210999999999</v>
      </c>
      <c r="EO74" s="420">
        <v>0.34334776653141269</v>
      </c>
      <c r="EP74" s="421">
        <v>849013</v>
      </c>
      <c r="EQ74" s="422">
        <f t="shared" si="37"/>
        <v>138.18679905756795</v>
      </c>
      <c r="ER74" s="422">
        <f t="shared" si="38"/>
        <v>0.36570222396681218</v>
      </c>
      <c r="ES74">
        <v>0</v>
      </c>
      <c r="EU74" s="306" t="s">
        <v>169</v>
      </c>
      <c r="EV74" s="306" t="s">
        <v>169</v>
      </c>
      <c r="EW74" s="306" t="s">
        <v>575</v>
      </c>
      <c r="EX74" s="306">
        <v>5756.5210999999999</v>
      </c>
      <c r="EY74" s="306">
        <v>0.34334776653141269</v>
      </c>
      <c r="EZ74" s="307">
        <v>849013</v>
      </c>
      <c r="FA74" s="308">
        <f t="shared" si="39"/>
        <v>138.18679905756795</v>
      </c>
      <c r="FB74" s="308">
        <f t="shared" si="30"/>
        <v>0.36570222396681218</v>
      </c>
      <c r="FD74" s="101"/>
      <c r="FE74" s="101"/>
      <c r="FF74" s="101"/>
      <c r="FG74" s="101"/>
      <c r="FH74" s="101"/>
      <c r="FI74" s="374"/>
      <c r="FJ74" s="404"/>
      <c r="FK74" s="404"/>
    </row>
    <row r="75" spans="1:167">
      <c r="C75" s="56">
        <f t="shared" ref="C75:F75" si="48">SUM(C62:C73)-C74</f>
        <v>0</v>
      </c>
      <c r="D75" s="56">
        <f t="shared" si="48"/>
        <v>0</v>
      </c>
      <c r="E75" s="56">
        <f t="shared" si="48"/>
        <v>0</v>
      </c>
      <c r="F75" s="56">
        <f t="shared" si="48"/>
        <v>0</v>
      </c>
      <c r="G75" s="56">
        <f>SUM(G62:G73)-G74</f>
        <v>0</v>
      </c>
      <c r="H75" s="56">
        <f t="shared" ref="H75" si="49">SUM(H62:H73)-H74</f>
        <v>0</v>
      </c>
      <c r="I75" s="56"/>
      <c r="J75" s="56"/>
      <c r="K75" s="56"/>
      <c r="L75" s="56"/>
      <c r="M75" s="56"/>
      <c r="P75" s="56"/>
      <c r="Q75" s="56"/>
      <c r="R75" s="56"/>
      <c r="S75" s="56"/>
      <c r="T75" s="301"/>
      <c r="U75" s="301"/>
      <c r="V75" s="302"/>
      <c r="W75" s="56"/>
      <c r="X75" s="56"/>
      <c r="EK75" s="420" t="s">
        <v>169</v>
      </c>
      <c r="EL75" s="420" t="s">
        <v>169</v>
      </c>
      <c r="EM75" s="420" t="s">
        <v>576</v>
      </c>
      <c r="EN75" s="420">
        <v>5584.9350000000004</v>
      </c>
      <c r="EO75" s="420">
        <v>0.33311351164388425</v>
      </c>
      <c r="EP75" s="421">
        <v>849014</v>
      </c>
      <c r="EQ75" s="422">
        <f t="shared" si="37"/>
        <v>134.06782971655886</v>
      </c>
      <c r="ER75" s="422">
        <f t="shared" si="38"/>
        <v>0.3548016440363761</v>
      </c>
      <c r="ES75">
        <v>0</v>
      </c>
      <c r="EU75" s="306" t="s">
        <v>169</v>
      </c>
      <c r="EV75" s="306" t="s">
        <v>169</v>
      </c>
      <c r="EW75" s="306" t="s">
        <v>576</v>
      </c>
      <c r="EX75" s="306">
        <v>5584.9350000000004</v>
      </c>
      <c r="EY75" s="306">
        <v>0.33311351164388425</v>
      </c>
      <c r="EZ75" s="307">
        <v>849014</v>
      </c>
      <c r="FA75" s="308">
        <f t="shared" si="39"/>
        <v>134.06782971655886</v>
      </c>
      <c r="FB75" s="308">
        <f t="shared" si="30"/>
        <v>0.3548016440363761</v>
      </c>
      <c r="FD75" s="101"/>
      <c r="FE75" s="101"/>
      <c r="FF75" s="101"/>
      <c r="FG75" s="101"/>
      <c r="FH75" s="101"/>
      <c r="FI75" s="374"/>
      <c r="FJ75" s="404"/>
      <c r="FK75" s="404"/>
    </row>
    <row r="76" spans="1:167">
      <c r="C76" s="56"/>
      <c r="D76" s="56"/>
      <c r="E76" s="56"/>
      <c r="F76" s="56"/>
      <c r="G76" s="56"/>
      <c r="H76" s="56"/>
      <c r="I76" s="56"/>
      <c r="J76" s="56"/>
      <c r="K76" s="56"/>
      <c r="L76" s="56"/>
      <c r="M76" s="56"/>
      <c r="P76" s="56"/>
      <c r="Q76" s="56"/>
      <c r="R76" s="56"/>
      <c r="S76" s="56"/>
      <c r="T76" s="301"/>
      <c r="U76" s="301"/>
      <c r="V76" s="302"/>
      <c r="W76" s="56"/>
      <c r="X76" s="56"/>
      <c r="EK76" s="420" t="s">
        <v>169</v>
      </c>
      <c r="EL76" s="420" t="s">
        <v>169</v>
      </c>
      <c r="EM76" s="420" t="s">
        <v>382</v>
      </c>
      <c r="EN76" s="420">
        <v>5424.4053999999996</v>
      </c>
      <c r="EO76" s="420">
        <v>0.32353872182470311</v>
      </c>
      <c r="EP76" s="421">
        <v>849015</v>
      </c>
      <c r="EQ76" s="422">
        <f t="shared" si="37"/>
        <v>130.21427455839367</v>
      </c>
      <c r="ER76" s="422">
        <f t="shared" si="38"/>
        <v>0.34460346518621904</v>
      </c>
      <c r="ES76">
        <v>0</v>
      </c>
      <c r="EU76" s="306" t="s">
        <v>169</v>
      </c>
      <c r="EV76" s="306" t="s">
        <v>169</v>
      </c>
      <c r="EW76" s="306" t="s">
        <v>382</v>
      </c>
      <c r="EX76" s="306">
        <v>5424.4053999999996</v>
      </c>
      <c r="EY76" s="306">
        <v>0.32353872182470311</v>
      </c>
      <c r="EZ76" s="307">
        <v>849015</v>
      </c>
      <c r="FA76" s="308">
        <f t="shared" si="39"/>
        <v>130.21427455839367</v>
      </c>
      <c r="FB76" s="308">
        <f t="shared" si="30"/>
        <v>0.34460346518621904</v>
      </c>
      <c r="FD76" s="101"/>
      <c r="FE76" s="101"/>
      <c r="FF76" s="101"/>
      <c r="FG76" s="101"/>
      <c r="FH76" s="101"/>
      <c r="FI76" s="374"/>
      <c r="FJ76" s="404"/>
      <c r="FK76" s="404"/>
    </row>
    <row r="77" spans="1:167">
      <c r="C77" s="56"/>
      <c r="D77" s="56"/>
      <c r="E77" s="56"/>
      <c r="F77" s="56"/>
      <c r="G77" s="56"/>
      <c r="H77" s="56"/>
      <c r="I77" s="56"/>
      <c r="J77" s="56"/>
      <c r="K77" s="56"/>
      <c r="L77" s="56"/>
      <c r="M77" s="56"/>
      <c r="P77" s="56"/>
      <c r="Q77" s="56"/>
      <c r="R77" s="56"/>
      <c r="S77" s="56"/>
      <c r="T77" s="301"/>
      <c r="U77" s="301"/>
      <c r="V77" s="302"/>
      <c r="W77" s="56"/>
      <c r="X77" s="56"/>
      <c r="EK77" s="420" t="s">
        <v>170</v>
      </c>
      <c r="EL77" s="420" t="s">
        <v>170</v>
      </c>
      <c r="EM77" s="420" t="s">
        <v>577</v>
      </c>
      <c r="EN77" s="420">
        <v>28051.338899999999</v>
      </c>
      <c r="EO77" s="420">
        <v>1</v>
      </c>
      <c r="EP77" s="421">
        <v>849016</v>
      </c>
      <c r="EQ77" s="422">
        <f t="shared" si="37"/>
        <v>332.86515553219306</v>
      </c>
      <c r="ER77" s="422">
        <f t="shared" si="38"/>
        <v>0.88090561826003333</v>
      </c>
      <c r="ES77">
        <v>0</v>
      </c>
      <c r="EU77" s="306" t="s">
        <v>170</v>
      </c>
      <c r="EV77" s="306" t="s">
        <v>170</v>
      </c>
      <c r="EW77" s="306" t="s">
        <v>577</v>
      </c>
      <c r="EX77" s="306">
        <v>28051.338899999999</v>
      </c>
      <c r="EY77" s="306">
        <v>1</v>
      </c>
      <c r="EZ77" s="307">
        <v>849016</v>
      </c>
      <c r="FA77" s="308">
        <f t="shared" si="39"/>
        <v>332.86515553219306</v>
      </c>
      <c r="FB77" s="308">
        <f t="shared" si="30"/>
        <v>0.88090561826003333</v>
      </c>
      <c r="FD77" s="101"/>
      <c r="FE77" s="101"/>
      <c r="FF77" s="101"/>
      <c r="FG77" s="101"/>
      <c r="FH77" s="101"/>
      <c r="FI77" s="374"/>
      <c r="FJ77" s="404"/>
      <c r="FK77" s="404"/>
    </row>
    <row r="78" spans="1:167">
      <c r="C78" s="56"/>
      <c r="D78" s="56"/>
      <c r="E78" s="56"/>
      <c r="F78" s="56"/>
      <c r="G78" s="56"/>
      <c r="H78" s="56"/>
      <c r="I78" s="56"/>
      <c r="J78" s="56"/>
      <c r="K78" s="56"/>
      <c r="L78" s="56"/>
      <c r="M78" s="56"/>
      <c r="P78" s="56"/>
      <c r="Q78" s="56"/>
      <c r="R78" s="56"/>
      <c r="S78" s="56"/>
      <c r="T78" s="301"/>
      <c r="U78" s="301"/>
      <c r="V78" s="302"/>
      <c r="W78" s="56"/>
      <c r="X78" s="56"/>
      <c r="EK78" s="420" t="s">
        <v>171</v>
      </c>
      <c r="EL78" s="420" t="s">
        <v>171</v>
      </c>
      <c r="EM78" s="420" t="s">
        <v>579</v>
      </c>
      <c r="EN78" s="420">
        <v>15650.840399999999</v>
      </c>
      <c r="EO78" s="420">
        <v>0.80490868986400721</v>
      </c>
      <c r="EP78" s="421">
        <v>849017</v>
      </c>
      <c r="EQ78" s="422">
        <f t="shared" si="37"/>
        <v>10.760676122725977</v>
      </c>
      <c r="ER78" s="422">
        <f t="shared" si="38"/>
        <v>2.8477417642680011E-2</v>
      </c>
      <c r="ES78">
        <v>0</v>
      </c>
      <c r="EU78" s="306" t="s">
        <v>171</v>
      </c>
      <c r="EV78" s="306" t="s">
        <v>171</v>
      </c>
      <c r="EW78" s="306" t="s">
        <v>579</v>
      </c>
      <c r="EX78" s="306">
        <v>15650.840399999999</v>
      </c>
      <c r="EY78" s="306">
        <v>0.80490868986400721</v>
      </c>
      <c r="EZ78" s="307">
        <v>849017</v>
      </c>
      <c r="FA78" s="308">
        <f t="shared" si="39"/>
        <v>10.760676122725977</v>
      </c>
      <c r="FB78" s="308">
        <f t="shared" si="30"/>
        <v>2.8477417642680011E-2</v>
      </c>
      <c r="FD78" s="101"/>
      <c r="FE78" s="101"/>
      <c r="FF78" s="101"/>
      <c r="FG78" s="101"/>
      <c r="FH78" s="101"/>
      <c r="FI78" s="374"/>
      <c r="FJ78" s="404"/>
      <c r="FK78" s="404"/>
    </row>
    <row r="79" spans="1:167">
      <c r="C79" s="56"/>
      <c r="D79" s="56"/>
      <c r="E79" s="56"/>
      <c r="F79" s="56"/>
      <c r="G79" s="56"/>
      <c r="H79" s="56"/>
      <c r="I79" s="56"/>
      <c r="J79" s="56"/>
      <c r="K79" s="56"/>
      <c r="L79" s="56"/>
      <c r="M79" s="56"/>
      <c r="P79" s="56"/>
      <c r="Q79" s="56"/>
      <c r="R79" s="56"/>
      <c r="S79" s="56"/>
      <c r="T79" s="301"/>
      <c r="U79" s="301"/>
      <c r="V79" s="302"/>
      <c r="W79" s="56"/>
      <c r="X79" s="56"/>
      <c r="EK79" s="420" t="s">
        <v>171</v>
      </c>
      <c r="EL79" s="420" t="s">
        <v>171</v>
      </c>
      <c r="EM79" s="420" t="s">
        <v>580</v>
      </c>
      <c r="EN79" s="420">
        <v>3793.4029</v>
      </c>
      <c r="EO79" s="420">
        <v>0.19509131013599282</v>
      </c>
      <c r="EP79" s="421">
        <v>849018</v>
      </c>
      <c r="EQ79" s="422">
        <f t="shared" si="37"/>
        <v>2.608139816562788</v>
      </c>
      <c r="ER79" s="422">
        <f t="shared" si="38"/>
        <v>6.9022695209551522E-3</v>
      </c>
      <c r="ES79">
        <v>0</v>
      </c>
      <c r="EU79" s="306" t="s">
        <v>171</v>
      </c>
      <c r="EV79" s="306" t="s">
        <v>171</v>
      </c>
      <c r="EW79" s="306" t="s">
        <v>580</v>
      </c>
      <c r="EX79" s="306">
        <v>3793.4029</v>
      </c>
      <c r="EY79" s="306">
        <v>0.19509131013599282</v>
      </c>
      <c r="EZ79" s="307">
        <v>849018</v>
      </c>
      <c r="FA79" s="308">
        <f t="shared" si="39"/>
        <v>2.608139816562788</v>
      </c>
      <c r="FB79" s="308">
        <f t="shared" si="30"/>
        <v>6.9022695209551522E-3</v>
      </c>
      <c r="FD79" s="101"/>
      <c r="FE79" s="101"/>
      <c r="FF79" s="101"/>
      <c r="FG79" s="101"/>
      <c r="FH79" s="101"/>
      <c r="FI79" s="374"/>
      <c r="FJ79" s="404"/>
      <c r="FK79" s="404"/>
    </row>
    <row r="80" spans="1:167">
      <c r="C80" s="56"/>
      <c r="D80" s="56"/>
      <c r="E80" s="56"/>
      <c r="F80" s="56"/>
      <c r="G80" s="56"/>
      <c r="H80" s="56"/>
      <c r="I80" s="56"/>
      <c r="J80" s="56"/>
      <c r="K80" s="56"/>
      <c r="L80" s="56"/>
      <c r="M80" s="56"/>
      <c r="P80" s="56"/>
      <c r="Q80" s="56"/>
      <c r="R80" s="56"/>
      <c r="S80" s="56"/>
      <c r="T80" s="301"/>
      <c r="U80" s="301"/>
      <c r="V80" s="302"/>
      <c r="W80" s="56"/>
      <c r="X80" s="56"/>
      <c r="EK80" s="420" t="s">
        <v>13</v>
      </c>
      <c r="EL80" s="420" t="s">
        <v>13</v>
      </c>
      <c r="EM80" s="420" t="s">
        <v>582</v>
      </c>
      <c r="EN80" s="420">
        <v>2617.3850000000002</v>
      </c>
      <c r="EO80" s="420">
        <v>0.44699524620375919</v>
      </c>
      <c r="EP80" s="421">
        <v>849019</v>
      </c>
      <c r="EQ80" s="422">
        <f t="shared" si="37"/>
        <v>46.855682373207202</v>
      </c>
      <c r="ER80" s="422">
        <f t="shared" si="38"/>
        <v>0.12400046434410848</v>
      </c>
      <c r="ES80">
        <v>0</v>
      </c>
      <c r="EU80" s="306" t="s">
        <v>13</v>
      </c>
      <c r="EV80" s="306" t="s">
        <v>13</v>
      </c>
      <c r="EW80" s="306" t="s">
        <v>582</v>
      </c>
      <c r="EX80" s="306">
        <v>2617.3850000000002</v>
      </c>
      <c r="EY80" s="306">
        <v>0.44699524620375919</v>
      </c>
      <c r="EZ80" s="307">
        <v>849019</v>
      </c>
      <c r="FA80" s="308">
        <f t="shared" si="39"/>
        <v>46.855682373207202</v>
      </c>
      <c r="FB80" s="308">
        <f t="shared" si="30"/>
        <v>0.12400046434410848</v>
      </c>
      <c r="FD80" s="101"/>
      <c r="FE80" s="101"/>
      <c r="FF80" s="101"/>
      <c r="FG80" s="101"/>
      <c r="FH80" s="101"/>
      <c r="FI80" s="374"/>
      <c r="FJ80" s="404"/>
      <c r="FK80" s="404"/>
    </row>
    <row r="81" spans="1:167">
      <c r="C81" s="56"/>
      <c r="D81" s="56"/>
      <c r="E81" s="56"/>
      <c r="F81" s="56"/>
      <c r="G81" s="56"/>
      <c r="H81" s="56"/>
      <c r="I81" s="56"/>
      <c r="J81" s="56"/>
      <c r="K81" s="56"/>
      <c r="L81" s="56"/>
      <c r="M81" s="56"/>
      <c r="P81" s="56"/>
      <c r="Q81" s="56"/>
      <c r="R81" s="56"/>
      <c r="S81" s="56"/>
      <c r="T81" s="301"/>
      <c r="U81" s="301"/>
      <c r="V81" s="302"/>
      <c r="W81" s="56"/>
      <c r="X81" s="56"/>
      <c r="EK81" s="420" t="s">
        <v>13</v>
      </c>
      <c r="EL81" s="420" t="s">
        <v>13</v>
      </c>
      <c r="EM81" s="420" t="s">
        <v>583</v>
      </c>
      <c r="EN81" s="420">
        <v>3238.1246999999998</v>
      </c>
      <c r="EO81" s="420">
        <v>0.5530047537962407</v>
      </c>
      <c r="EP81" s="421">
        <v>849020</v>
      </c>
      <c r="EQ81" s="422">
        <f t="shared" si="37"/>
        <v>57.967988059852409</v>
      </c>
      <c r="ER81" s="422">
        <f t="shared" si="38"/>
        <v>0.15340844637075818</v>
      </c>
      <c r="ES81">
        <v>0</v>
      </c>
      <c r="EU81" s="306" t="s">
        <v>13</v>
      </c>
      <c r="EV81" s="306" t="s">
        <v>13</v>
      </c>
      <c r="EW81" s="306" t="s">
        <v>583</v>
      </c>
      <c r="EX81" s="306">
        <v>3238.1246999999998</v>
      </c>
      <c r="EY81" s="306">
        <v>0.5530047537962407</v>
      </c>
      <c r="EZ81" s="307">
        <v>849020</v>
      </c>
      <c r="FA81" s="308">
        <f t="shared" si="39"/>
        <v>57.967988059852409</v>
      </c>
      <c r="FB81" s="308">
        <f t="shared" si="30"/>
        <v>0.15340844637075818</v>
      </c>
      <c r="FD81" s="101"/>
      <c r="FE81" s="101"/>
      <c r="FF81" s="101"/>
      <c r="FG81" s="101"/>
      <c r="FH81" s="101"/>
      <c r="FI81" s="374"/>
      <c r="FJ81" s="404"/>
      <c r="FK81" s="404"/>
    </row>
    <row r="82" spans="1:167">
      <c r="C82" s="56"/>
      <c r="D82" s="56"/>
      <c r="E82" s="56"/>
      <c r="F82" s="56"/>
      <c r="G82" s="56"/>
      <c r="H82" s="56"/>
      <c r="I82" s="56"/>
      <c r="J82" s="56"/>
      <c r="K82" s="56"/>
      <c r="L82" s="56"/>
      <c r="M82" s="56"/>
      <c r="P82" s="56"/>
      <c r="Q82" s="56"/>
      <c r="R82" s="56"/>
      <c r="S82" s="56"/>
      <c r="T82" s="301"/>
      <c r="U82" s="301"/>
      <c r="V82" s="302"/>
      <c r="W82" s="56"/>
      <c r="X82" s="56"/>
      <c r="EQ82" s="310">
        <f>SUM(EQ62:EQ81)</f>
        <v>5751.7621952597528</v>
      </c>
      <c r="ER82" s="310">
        <f>SUM(ER62:ER81)</f>
        <v>15.221658225533153</v>
      </c>
      <c r="FA82" s="310"/>
      <c r="FB82" s="310"/>
      <c r="FJ82" s="310"/>
      <c r="FK82" s="310"/>
    </row>
    <row r="83" spans="1:167">
      <c r="C83" s="56"/>
      <c r="D83" s="56"/>
      <c r="E83" s="56"/>
      <c r="F83" s="56"/>
      <c r="G83" s="56"/>
      <c r="H83" s="56"/>
      <c r="I83" s="56"/>
      <c r="J83" s="56"/>
      <c r="K83" s="56"/>
      <c r="L83" s="56"/>
      <c r="M83" s="56"/>
      <c r="P83" s="56"/>
      <c r="Q83" s="56"/>
      <c r="R83" s="56"/>
      <c r="S83" s="56"/>
      <c r="T83" s="301"/>
      <c r="U83" s="301"/>
      <c r="V83" s="302"/>
      <c r="W83" s="56"/>
      <c r="X83" s="56"/>
    </row>
    <row r="84" spans="1:167" ht="25.5">
      <c r="A84" s="285">
        <v>2025</v>
      </c>
      <c r="B84" s="282"/>
      <c r="C84" s="283"/>
      <c r="D84" s="284"/>
      <c r="E84" s="284"/>
      <c r="F84" s="284"/>
      <c r="G84" s="284"/>
      <c r="H84" s="284"/>
      <c r="I84" s="284"/>
      <c r="J84" s="227"/>
      <c r="K84" s="282"/>
      <c r="L84" s="282"/>
      <c r="M84" s="283"/>
      <c r="N84" s="284"/>
      <c r="O84" s="284"/>
      <c r="P84" s="284"/>
      <c r="Q84" s="284"/>
      <c r="R84" s="284"/>
      <c r="S84" s="284"/>
      <c r="T84" s="227"/>
      <c r="U84" s="227"/>
      <c r="V84" s="227"/>
      <c r="W84" s="227"/>
      <c r="X84" s="227"/>
      <c r="Y84" s="227"/>
      <c r="Z84" s="227"/>
      <c r="AA84" s="227"/>
      <c r="AB84" s="227"/>
      <c r="AC84" s="227"/>
      <c r="AD84" s="227"/>
      <c r="AE84" s="227"/>
      <c r="AF84" s="227"/>
      <c r="AG84" s="227"/>
      <c r="AH84" s="227"/>
      <c r="AI84" s="227"/>
      <c r="AJ84" s="227"/>
      <c r="AK84" s="227"/>
      <c r="AL84" s="227"/>
      <c r="AM84" s="227"/>
      <c r="AN84" s="227"/>
      <c r="AO84" s="227"/>
      <c r="AP84" s="227"/>
      <c r="AQ84" s="227"/>
      <c r="AR84" s="227"/>
      <c r="AS84" s="227"/>
      <c r="AT84" s="227"/>
      <c r="AU84" s="227"/>
      <c r="AV84" s="227"/>
      <c r="AW84" s="227"/>
      <c r="AX84" s="227"/>
      <c r="AY84" s="227"/>
      <c r="AZ84" s="227"/>
      <c r="BA84" s="227"/>
      <c r="BB84" s="227"/>
      <c r="BC84" s="227"/>
      <c r="BD84" s="227"/>
      <c r="BE84" s="227"/>
      <c r="BF84" s="227"/>
      <c r="BG84" s="227"/>
      <c r="BH84" s="227"/>
      <c r="BI84" s="227"/>
      <c r="BJ84" s="227"/>
      <c r="BK84" s="227"/>
      <c r="BL84" s="227"/>
      <c r="BM84" s="227"/>
      <c r="BN84" s="227"/>
      <c r="BO84" s="227"/>
      <c r="BP84" s="227"/>
      <c r="BQ84" s="227"/>
      <c r="BR84" s="227"/>
      <c r="BS84" s="227"/>
      <c r="BT84" s="227"/>
      <c r="BU84" s="227"/>
      <c r="BV84" s="227"/>
      <c r="BW84" s="227"/>
      <c r="BX84" s="227"/>
      <c r="BY84" s="227"/>
      <c r="BZ84" s="227"/>
      <c r="CA84" s="227"/>
      <c r="CB84" s="227"/>
      <c r="CC84" s="227"/>
      <c r="CD84" s="227"/>
      <c r="CE84" s="227"/>
      <c r="CF84" s="227"/>
      <c r="CG84" s="227"/>
      <c r="CH84" s="227"/>
      <c r="CI84" s="227"/>
      <c r="CJ84" s="227"/>
      <c r="CK84" s="227"/>
      <c r="CL84" s="227"/>
      <c r="CM84" s="227"/>
      <c r="CN84" s="227"/>
      <c r="CO84" s="227"/>
      <c r="CP84" s="227"/>
      <c r="CQ84" s="227"/>
      <c r="CR84" s="227"/>
      <c r="CS84" s="227"/>
      <c r="CT84" s="227"/>
      <c r="CU84" s="227"/>
      <c r="CV84" s="227"/>
      <c r="CW84" s="227"/>
      <c r="CX84" s="227"/>
      <c r="CY84" s="227"/>
      <c r="CZ84" s="227"/>
      <c r="DA84" s="227"/>
      <c r="DB84" s="227"/>
      <c r="DC84" s="227"/>
      <c r="DD84" s="227"/>
      <c r="DE84" s="227"/>
      <c r="DF84" s="227"/>
      <c r="DG84" s="227"/>
      <c r="DH84" s="227"/>
      <c r="DI84" s="227"/>
      <c r="DJ84" s="227"/>
      <c r="DK84" s="227"/>
      <c r="DL84" s="227"/>
      <c r="DM84" s="227"/>
      <c r="DN84" s="227"/>
      <c r="DO84" s="227"/>
      <c r="DP84" s="227"/>
      <c r="DQ84" s="227"/>
      <c r="DR84" s="227"/>
      <c r="DS84" s="227"/>
      <c r="DT84" s="227"/>
      <c r="DU84" s="227"/>
      <c r="DV84" s="227"/>
      <c r="DW84" s="227"/>
      <c r="DX84" s="227"/>
      <c r="DY84" s="227"/>
      <c r="DZ84" s="227"/>
      <c r="EA84" s="227"/>
      <c r="EB84" s="227"/>
      <c r="EC84" s="227"/>
      <c r="ED84" s="227"/>
      <c r="EE84" s="227"/>
      <c r="EF84" s="227"/>
      <c r="EG84" s="227"/>
      <c r="EH84" s="227"/>
      <c r="EI84" s="227"/>
      <c r="EJ84" s="227"/>
      <c r="EK84" s="227"/>
      <c r="EL84" s="227"/>
      <c r="EM84" s="227"/>
      <c r="EN84" s="227"/>
      <c r="EO84" s="227"/>
      <c r="EP84" s="227"/>
      <c r="EQ84" s="227"/>
      <c r="ER84" s="227"/>
      <c r="ES84" s="227"/>
      <c r="EU84" s="227"/>
      <c r="EV84" s="227"/>
      <c r="EW84" s="227"/>
      <c r="EX84" s="227"/>
      <c r="EY84" s="227"/>
      <c r="EZ84" s="227"/>
      <c r="FA84" s="227"/>
      <c r="FB84" s="227"/>
    </row>
    <row r="85" spans="1:167" ht="23.5" thickBot="1">
      <c r="A85" s="32" t="s">
        <v>641</v>
      </c>
      <c r="C85" t="s">
        <v>463</v>
      </c>
      <c r="D85" t="s">
        <v>467</v>
      </c>
      <c r="E85" t="s">
        <v>624</v>
      </c>
      <c r="F85" t="s">
        <v>465</v>
      </c>
      <c r="G85" t="s">
        <v>466</v>
      </c>
      <c r="H85" t="s">
        <v>21</v>
      </c>
      <c r="K85" s="32" t="s">
        <v>625</v>
      </c>
      <c r="CV85" s="32" t="s">
        <v>626</v>
      </c>
      <c r="CY85" t="s">
        <v>478</v>
      </c>
      <c r="CZ85" t="s">
        <v>479</v>
      </c>
      <c r="EK85" s="353" t="s">
        <v>860</v>
      </c>
      <c r="FD85" s="353"/>
    </row>
    <row r="86" spans="1:167">
      <c r="A86" t="s">
        <v>627</v>
      </c>
      <c r="C86" t="s">
        <v>427</v>
      </c>
      <c r="D86" t="s">
        <v>428</v>
      </c>
      <c r="E86" t="s">
        <v>429</v>
      </c>
      <c r="F86" t="s">
        <v>430</v>
      </c>
      <c r="G86" t="s">
        <v>431</v>
      </c>
      <c r="H86" t="s">
        <v>457</v>
      </c>
      <c r="K86" s="159" t="s">
        <v>482</v>
      </c>
      <c r="L86" s="159"/>
      <c r="M86" s="538" t="s">
        <v>463</v>
      </c>
      <c r="N86" s="539"/>
      <c r="O86" s="539"/>
      <c r="P86" s="539"/>
      <c r="Q86" s="539"/>
      <c r="R86" s="539"/>
      <c r="S86" s="539"/>
      <c r="T86" s="539"/>
      <c r="U86" s="539"/>
      <c r="V86" s="539"/>
      <c r="W86" s="539"/>
      <c r="X86" s="539"/>
      <c r="Y86" s="539"/>
      <c r="Z86" s="540"/>
      <c r="AA86" s="538" t="s">
        <v>467</v>
      </c>
      <c r="AB86" s="539"/>
      <c r="AC86" s="539"/>
      <c r="AD86" s="539"/>
      <c r="AE86" s="539"/>
      <c r="AF86" s="539"/>
      <c r="AG86" s="539"/>
      <c r="AH86" s="539"/>
      <c r="AI86" s="539"/>
      <c r="AJ86" s="539"/>
      <c r="AK86" s="539"/>
      <c r="AL86" s="539"/>
      <c r="AM86" s="539"/>
      <c r="AN86" s="540"/>
      <c r="AO86" s="538" t="s">
        <v>464</v>
      </c>
      <c r="AP86" s="539"/>
      <c r="AQ86" s="539"/>
      <c r="AR86" s="539"/>
      <c r="AS86" s="539"/>
      <c r="AT86" s="539"/>
      <c r="AU86" s="539"/>
      <c r="AV86" s="539"/>
      <c r="AW86" s="539"/>
      <c r="AX86" s="539"/>
      <c r="AY86" s="539"/>
      <c r="AZ86" s="539"/>
      <c r="BA86" s="539"/>
      <c r="BB86" s="540"/>
      <c r="BC86" s="538" t="s">
        <v>465</v>
      </c>
      <c r="BD86" s="539"/>
      <c r="BE86" s="539"/>
      <c r="BF86" s="539"/>
      <c r="BG86" s="539"/>
      <c r="BH86" s="539"/>
      <c r="BI86" s="539"/>
      <c r="BJ86" s="539"/>
      <c r="BK86" s="539"/>
      <c r="BL86" s="539"/>
      <c r="BM86" s="539"/>
      <c r="BN86" s="539"/>
      <c r="BO86" s="539"/>
      <c r="BP86" s="540"/>
      <c r="BQ86" s="538" t="s">
        <v>466</v>
      </c>
      <c r="BR86" s="539"/>
      <c r="BS86" s="539"/>
      <c r="BT86" s="539"/>
      <c r="BU86" s="539"/>
      <c r="BV86" s="539"/>
      <c r="BW86" s="539"/>
      <c r="BX86" s="539"/>
      <c r="BY86" s="539"/>
      <c r="BZ86" s="539"/>
      <c r="CA86" s="539"/>
      <c r="CB86" s="539"/>
      <c r="CC86" s="539"/>
      <c r="CD86" s="540"/>
      <c r="CE86" s="538" t="s">
        <v>21</v>
      </c>
      <c r="CF86" s="539"/>
      <c r="CG86" s="539"/>
      <c r="CH86" s="539"/>
      <c r="CI86" s="539"/>
      <c r="CJ86" s="539"/>
      <c r="CK86" s="539"/>
      <c r="CL86" s="539"/>
      <c r="CM86" s="539"/>
      <c r="CN86" s="539"/>
      <c r="CO86" s="539"/>
      <c r="CP86" s="539"/>
      <c r="CQ86" s="539"/>
      <c r="CR86" s="540"/>
      <c r="CV86" s="263" t="s">
        <v>628</v>
      </c>
      <c r="CW86" s="263"/>
      <c r="CX86" s="541" t="s">
        <v>629</v>
      </c>
      <c r="CY86" s="541"/>
      <c r="CZ86" s="541"/>
      <c r="DA86" s="541"/>
      <c r="DB86" s="542" t="s">
        <v>630</v>
      </c>
      <c r="DC86" s="541"/>
      <c r="DD86" s="541"/>
      <c r="DE86" s="541"/>
      <c r="DF86" s="542" t="s">
        <v>464</v>
      </c>
      <c r="DG86" s="541"/>
      <c r="DH86" s="541"/>
      <c r="DI86" s="541"/>
      <c r="DJ86" s="542" t="s">
        <v>465</v>
      </c>
      <c r="DK86" s="541"/>
      <c r="DL86" s="541"/>
      <c r="DM86" s="541"/>
      <c r="DN86" s="542" t="s">
        <v>466</v>
      </c>
      <c r="DO86" s="541"/>
      <c r="DP86" s="541"/>
      <c r="DQ86" s="541"/>
      <c r="DR86" s="542" t="s">
        <v>21</v>
      </c>
      <c r="DS86" s="541"/>
      <c r="DT86" s="541"/>
      <c r="DU86" s="541"/>
      <c r="DW86" s="278"/>
      <c r="DX86" s="278"/>
      <c r="DY86" s="442" t="s">
        <v>588</v>
      </c>
      <c r="DZ86" s="442"/>
      <c r="EB86" s="278"/>
      <c r="EC86" s="278"/>
      <c r="ED86" s="442" t="s">
        <v>631</v>
      </c>
      <c r="EE86" s="442"/>
      <c r="EI86" t="s">
        <v>632</v>
      </c>
    </row>
    <row r="87" spans="1:167">
      <c r="A87" s="199"/>
      <c r="B87" s="199"/>
      <c r="C87" s="202" t="s">
        <v>463</v>
      </c>
      <c r="D87" s="202" t="s">
        <v>467</v>
      </c>
      <c r="E87" s="202" t="s">
        <v>464</v>
      </c>
      <c r="F87" s="202" t="s">
        <v>465</v>
      </c>
      <c r="G87" s="202" t="s">
        <v>466</v>
      </c>
      <c r="H87" s="202" t="s">
        <v>21</v>
      </c>
      <c r="K87" s="159"/>
      <c r="L87" s="159"/>
      <c r="M87" s="211" t="s">
        <v>472</v>
      </c>
      <c r="N87" s="160" t="s">
        <v>156</v>
      </c>
      <c r="O87" s="160" t="s">
        <v>475</v>
      </c>
      <c r="P87" s="160" t="s">
        <v>476</v>
      </c>
      <c r="Q87" s="160" t="s">
        <v>477</v>
      </c>
      <c r="R87" s="160" t="s">
        <v>478</v>
      </c>
      <c r="S87" s="160" t="s">
        <v>479</v>
      </c>
      <c r="T87" s="160" t="s">
        <v>480</v>
      </c>
      <c r="U87" s="160" t="s">
        <v>449</v>
      </c>
      <c r="V87" s="160" t="s">
        <v>157</v>
      </c>
      <c r="W87" s="160" t="s">
        <v>473</v>
      </c>
      <c r="X87" s="160" t="s">
        <v>474</v>
      </c>
      <c r="Y87" s="160" t="s">
        <v>46</v>
      </c>
      <c r="Z87" s="212" t="s">
        <v>11</v>
      </c>
      <c r="AA87" s="211" t="s">
        <v>472</v>
      </c>
      <c r="AB87" s="160" t="s">
        <v>156</v>
      </c>
      <c r="AC87" s="160" t="s">
        <v>475</v>
      </c>
      <c r="AD87" s="160" t="s">
        <v>476</v>
      </c>
      <c r="AE87" s="160" t="s">
        <v>477</v>
      </c>
      <c r="AF87" s="160" t="s">
        <v>478</v>
      </c>
      <c r="AG87" s="160" t="s">
        <v>479</v>
      </c>
      <c r="AH87" s="160" t="s">
        <v>480</v>
      </c>
      <c r="AI87" s="160" t="s">
        <v>449</v>
      </c>
      <c r="AJ87" s="160" t="s">
        <v>157</v>
      </c>
      <c r="AK87" s="160" t="s">
        <v>473</v>
      </c>
      <c r="AL87" s="160" t="s">
        <v>474</v>
      </c>
      <c r="AM87" s="160" t="s">
        <v>46</v>
      </c>
      <c r="AN87" s="212" t="s">
        <v>11</v>
      </c>
      <c r="AO87" s="211" t="s">
        <v>472</v>
      </c>
      <c r="AP87" s="160" t="s">
        <v>156</v>
      </c>
      <c r="AQ87" s="160" t="s">
        <v>475</v>
      </c>
      <c r="AR87" s="160" t="s">
        <v>476</v>
      </c>
      <c r="AS87" s="160" t="s">
        <v>477</v>
      </c>
      <c r="AT87" s="160" t="s">
        <v>478</v>
      </c>
      <c r="AU87" s="160" t="s">
        <v>479</v>
      </c>
      <c r="AV87" s="160" t="s">
        <v>480</v>
      </c>
      <c r="AW87" s="160" t="s">
        <v>449</v>
      </c>
      <c r="AX87" s="160" t="s">
        <v>157</v>
      </c>
      <c r="AY87" s="160" t="s">
        <v>473</v>
      </c>
      <c r="AZ87" s="160" t="s">
        <v>474</v>
      </c>
      <c r="BA87" s="160" t="s">
        <v>46</v>
      </c>
      <c r="BB87" s="212" t="s">
        <v>11</v>
      </c>
      <c r="BC87" s="211" t="s">
        <v>472</v>
      </c>
      <c r="BD87" s="160" t="s">
        <v>156</v>
      </c>
      <c r="BE87" s="160" t="s">
        <v>475</v>
      </c>
      <c r="BF87" s="160" t="s">
        <v>476</v>
      </c>
      <c r="BG87" s="160" t="s">
        <v>477</v>
      </c>
      <c r="BH87" s="160" t="s">
        <v>478</v>
      </c>
      <c r="BI87" s="160" t="s">
        <v>479</v>
      </c>
      <c r="BJ87" s="160" t="s">
        <v>480</v>
      </c>
      <c r="BK87" s="160" t="s">
        <v>449</v>
      </c>
      <c r="BL87" s="160" t="s">
        <v>157</v>
      </c>
      <c r="BM87" s="160" t="s">
        <v>473</v>
      </c>
      <c r="BN87" s="160" t="s">
        <v>474</v>
      </c>
      <c r="BO87" s="160" t="s">
        <v>46</v>
      </c>
      <c r="BP87" s="212" t="s">
        <v>11</v>
      </c>
      <c r="BQ87" s="211" t="s">
        <v>472</v>
      </c>
      <c r="BR87" s="160" t="s">
        <v>156</v>
      </c>
      <c r="BS87" s="160" t="s">
        <v>475</v>
      </c>
      <c r="BT87" s="160" t="s">
        <v>476</v>
      </c>
      <c r="BU87" s="160" t="s">
        <v>477</v>
      </c>
      <c r="BV87" s="160" t="s">
        <v>478</v>
      </c>
      <c r="BW87" s="160" t="s">
        <v>479</v>
      </c>
      <c r="BX87" s="160" t="s">
        <v>480</v>
      </c>
      <c r="BY87" s="160" t="s">
        <v>449</v>
      </c>
      <c r="BZ87" s="160" t="s">
        <v>157</v>
      </c>
      <c r="CA87" s="160" t="s">
        <v>473</v>
      </c>
      <c r="CB87" s="160" t="s">
        <v>474</v>
      </c>
      <c r="CC87" s="160" t="s">
        <v>46</v>
      </c>
      <c r="CD87" s="212" t="s">
        <v>11</v>
      </c>
      <c r="CE87" s="211" t="s">
        <v>472</v>
      </c>
      <c r="CF87" s="160" t="s">
        <v>156</v>
      </c>
      <c r="CG87" s="160" t="s">
        <v>475</v>
      </c>
      <c r="CH87" s="160" t="s">
        <v>476</v>
      </c>
      <c r="CI87" s="160" t="s">
        <v>477</v>
      </c>
      <c r="CJ87" s="160" t="s">
        <v>478</v>
      </c>
      <c r="CK87" s="160" t="s">
        <v>479</v>
      </c>
      <c r="CL87" s="160" t="s">
        <v>480</v>
      </c>
      <c r="CM87" s="160" t="s">
        <v>449</v>
      </c>
      <c r="CN87" s="160" t="s">
        <v>157</v>
      </c>
      <c r="CO87" s="160" t="s">
        <v>473</v>
      </c>
      <c r="CP87" s="160" t="s">
        <v>474</v>
      </c>
      <c r="CQ87" s="160" t="s">
        <v>46</v>
      </c>
      <c r="CR87" s="212" t="s">
        <v>11</v>
      </c>
      <c r="CV87" s="263"/>
      <c r="CW87" s="263"/>
      <c r="CX87" s="264" t="s">
        <v>156</v>
      </c>
      <c r="CY87" s="264" t="s">
        <v>478</v>
      </c>
      <c r="CZ87" s="264" t="s">
        <v>479</v>
      </c>
      <c r="DA87" s="264" t="s">
        <v>157</v>
      </c>
      <c r="DB87" s="264" t="s">
        <v>156</v>
      </c>
      <c r="DC87" s="264" t="s">
        <v>478</v>
      </c>
      <c r="DD87" s="264" t="s">
        <v>479</v>
      </c>
      <c r="DE87" s="264" t="s">
        <v>157</v>
      </c>
      <c r="DF87" s="264" t="s">
        <v>156</v>
      </c>
      <c r="DG87" s="264" t="s">
        <v>478</v>
      </c>
      <c r="DH87" s="264" t="s">
        <v>479</v>
      </c>
      <c r="DI87" s="264" t="s">
        <v>157</v>
      </c>
      <c r="DJ87" s="264" t="s">
        <v>156</v>
      </c>
      <c r="DK87" s="264" t="s">
        <v>478</v>
      </c>
      <c r="DL87" s="264" t="s">
        <v>479</v>
      </c>
      <c r="DM87" s="264" t="s">
        <v>157</v>
      </c>
      <c r="DN87" s="264" t="s">
        <v>156</v>
      </c>
      <c r="DO87" s="264" t="s">
        <v>478</v>
      </c>
      <c r="DP87" s="264" t="s">
        <v>479</v>
      </c>
      <c r="DQ87" s="264" t="s">
        <v>157</v>
      </c>
      <c r="DR87" s="264" t="s">
        <v>156</v>
      </c>
      <c r="DS87" s="264" t="s">
        <v>478</v>
      </c>
      <c r="DT87" s="264" t="s">
        <v>479</v>
      </c>
      <c r="DU87" s="264" t="s">
        <v>157</v>
      </c>
      <c r="DW87" s="278"/>
      <c r="DX87" s="278"/>
      <c r="DY87" s="280" t="s">
        <v>585</v>
      </c>
      <c r="DZ87" s="280" t="s">
        <v>633</v>
      </c>
      <c r="EB87" s="278"/>
      <c r="EC87" s="278"/>
      <c r="ED87" s="280" t="s">
        <v>634</v>
      </c>
      <c r="EE87" s="280" t="s">
        <v>633</v>
      </c>
      <c r="EK87" s="420" t="s">
        <v>564</v>
      </c>
      <c r="EL87" s="420"/>
      <c r="EM87" s="420" t="s">
        <v>565</v>
      </c>
      <c r="EN87" s="420" t="s">
        <v>566</v>
      </c>
      <c r="EO87" s="420" t="s">
        <v>562</v>
      </c>
      <c r="EP87" s="421" t="s">
        <v>635</v>
      </c>
      <c r="EQ87" s="421" t="s">
        <v>634</v>
      </c>
      <c r="ER87" s="421" t="s">
        <v>633</v>
      </c>
      <c r="ES87" s="424" t="s">
        <v>866</v>
      </c>
      <c r="EU87" s="306" t="s">
        <v>564</v>
      </c>
      <c r="EV87" s="306"/>
      <c r="EW87" s="306" t="s">
        <v>565</v>
      </c>
      <c r="EX87" s="306" t="s">
        <v>566</v>
      </c>
      <c r="EY87" s="306" t="s">
        <v>562</v>
      </c>
      <c r="EZ87" s="307" t="s">
        <v>597</v>
      </c>
      <c r="FA87" s="307" t="s">
        <v>585</v>
      </c>
      <c r="FB87" s="307" t="s">
        <v>259</v>
      </c>
      <c r="FD87" s="101"/>
      <c r="FE87" s="101"/>
      <c r="FF87" s="101"/>
      <c r="FG87" s="101"/>
      <c r="FH87" s="101"/>
      <c r="FI87" s="374"/>
      <c r="FJ87" s="374"/>
      <c r="FK87" s="374"/>
    </row>
    <row r="88" spans="1:167">
      <c r="A88" s="205" t="s">
        <v>605</v>
      </c>
      <c r="B88" s="205" t="s">
        <v>606</v>
      </c>
      <c r="C88" s="201">
        <f>$K29*KTDB_TripDistribution_2035!T$12</f>
        <v>222.3886133033364</v>
      </c>
      <c r="D88" s="201">
        <f>$K29*KTDB_TripDistribution_2035!U$12</f>
        <v>1609.4718911173061</v>
      </c>
      <c r="E88" s="201">
        <f>$K29*KTDB_TripDistribution_2035!V$12</f>
        <v>92.331418615935192</v>
      </c>
      <c r="F88" s="201">
        <f>$K29*KTDB_TripDistribution_2035!W$12</f>
        <v>0.14509913873640884</v>
      </c>
      <c r="G88" s="201">
        <f>$K29*KTDB_TripDistribution_2035!X$12</f>
        <v>0.54815230189310171</v>
      </c>
      <c r="H88" s="201">
        <f>$K29*KTDB_TripDistribution_2035!Y$12</f>
        <v>1924.8851744772073</v>
      </c>
      <c r="J88" s="230">
        <f t="shared" ref="J88:J92" si="50">CR88</f>
        <v>1924.8851744772073</v>
      </c>
      <c r="K88" s="206" t="s">
        <v>605</v>
      </c>
      <c r="L88" s="206" t="s">
        <v>606</v>
      </c>
      <c r="M88" s="206">
        <f>INDEX($A$87:$H$100,MATCH($L88,$B$87:$B$100,0),MATCH($M$86,$A$87:$H$87,0))*고양시_Modal_split!C$3 * 0.01</f>
        <v>0.62268811724934192</v>
      </c>
      <c r="N88" s="206">
        <f>INDEX($A$87:$H$100,MATCH($L88,$B$87:$B$100,0),MATCH($M$86,$A$87:$H$87,0))*고양시_Modal_split!D$3 * 0.01</f>
        <v>104.58936483655911</v>
      </c>
      <c r="O88" s="206">
        <f>INDEX($A$87:$H$100,MATCH($L88,$B$87:$B$100,0),MATCH($M$86,$A$87:$H$87,0))*고양시_Modal_split!E$3 * 0.01</f>
        <v>12.653912096959839</v>
      </c>
      <c r="P88" s="206">
        <f>INDEX($A$87:$H$100,MATCH($L88,$B$87:$B$100,0),MATCH($M$86,$A$87:$H$87,0))*고양시_Modal_split!F$3 * 0.01</f>
        <v>20.393035839915946</v>
      </c>
      <c r="Q88" s="206">
        <f>INDEX($A$87:$H$100,MATCH($L88,$B$87:$B$100,0),MATCH($M$86,$A$87:$H$87,0))*고양시_Modal_split!G$3 * 0.01</f>
        <v>2.0459752423906945</v>
      </c>
      <c r="R88" s="206">
        <f>INDEX($A$87:$H$100,MATCH($L88,$B$87:$B$100,0),MATCH($M$86,$A$87:$H$87,0))*고양시_Modal_split!H$3 * 0.01</f>
        <v>2.2238861330333641E-2</v>
      </c>
      <c r="S88" s="206">
        <f>INDEX($A$87:$H$100,MATCH($L88,$B$87:$B$100,0),MATCH($M$86,$A$87:$H$87,0))*고양시_Modal_split!I$3 * 0.01</f>
        <v>6.1824034498327514</v>
      </c>
      <c r="T88" s="206">
        <f>INDEX($A$87:$H$100,MATCH($L88,$B$87:$B$100,0),MATCH($M$86,$A$87:$H$87,0))*고양시_Modal_split!J$3 * 0.01</f>
        <v>67.695093889535599</v>
      </c>
      <c r="U88" s="206">
        <f>INDEX($A$87:$H$100,MATCH($L88,$B$87:$B$100,0),MATCH($M$86,$A$87:$H$87,0))*고양시_Modal_split!K$3 * 0.01</f>
        <v>0.33358291995500461</v>
      </c>
      <c r="V88" s="206">
        <f>INDEX($A$87:$H$100,MATCH($L88,$B$87:$B$100,0),MATCH($M$86,$A$87:$H$87,0))*고양시_Modal_split!L$3 * 0.01</f>
        <v>6.7161361217607594</v>
      </c>
      <c r="W88" s="206">
        <f>INDEX($A$87:$H$100,MATCH($L88,$B$87:$B$100,0),MATCH($M$86,$A$87:$H$87,0))*고양시_Modal_split!M$3 * 0.01</f>
        <v>0.51149381059767363</v>
      </c>
      <c r="X88" s="206">
        <f>INDEX($A$87:$H$100,MATCH($L88,$B$87:$B$100,0),MATCH($M$86,$A$87:$H$87,0))*고양시_Modal_split!N$3 * 0.01</f>
        <v>0.22238861330333642</v>
      </c>
      <c r="Y88" s="206">
        <f>INDEX($A$87:$H$100,MATCH($L88,$B$87:$B$100,0),MATCH($M$86,$A$87:$H$87,0))*고양시_Modal_split!O$3 * 0.01</f>
        <v>0.4002995039460055</v>
      </c>
      <c r="Z88" s="209">
        <f>INDEX($A$87:$H$100,MATCH($L88,$B$87:$B$100,0),MATCH($M$86,$A$87:$H$87,0))*고양시_Modal_split!P$3 * 0.01</f>
        <v>222.3886133033364</v>
      </c>
      <c r="AA88" s="207">
        <f>INDEX($A$87:$H$100,MATCH($L88,$B$87:$B$100,0),MATCH($AA$86,$A$87:$H$87,0))*고양시_Modal_split!C$3 * 0.01</f>
        <v>4.506521295128457</v>
      </c>
      <c r="AB88" s="207">
        <f>INDEX($A$87:$H$100,MATCH($L88,$B$87:$B$100,0),MATCH($AA$86,$A$87:$H$87,0))*고양시_Modal_split!D$3 * 0.01</f>
        <v>756.9346303924691</v>
      </c>
      <c r="AC88" s="207">
        <f>INDEX($A$87:$H$100,MATCH($L88,$B$87:$B$100,0),MATCH($AA$86,$A$87:$H$87,0))*고양시_Modal_split!E$3 * 0.01</f>
        <v>91.578950604574715</v>
      </c>
      <c r="AD88" s="207">
        <f>INDEX($A$87:$H$100,MATCH($L88,$B$87:$B$100,0),MATCH($AA$86,$A$87:$H$87,0))*고양시_Modal_split!F$3 * 0.01</f>
        <v>147.58857241545698</v>
      </c>
      <c r="AE88" s="207">
        <f>INDEX($A$87:$H$100,MATCH($L88,$B$87:$B$100,0),MATCH($AA$86,$A$87:$H$87,0))*고양시_Modal_split!G$3 * 0.01</f>
        <v>14.807141398279214</v>
      </c>
      <c r="AF88" s="207">
        <f>INDEX($A$87:$H$100,MATCH($L88,$B$87:$B$100,0),MATCH($AA$86,$A$87:$H$87,0))*고양시_Modal_split!H$3 * 0.01</f>
        <v>0.16094718911173062</v>
      </c>
      <c r="AG88" s="207">
        <f>INDEX($A$87:$H$100,MATCH($L88,$B$87:$B$100,0),MATCH($AA$86,$A$87:$H$87,0))*고양시_Modal_split!I$3 * 0.01</f>
        <v>44.74331857306111</v>
      </c>
      <c r="AH88" s="207">
        <f>INDEX($A$87:$H$100,MATCH($L88,$B$87:$B$100,0),MATCH($AA$86,$A$87:$H$87,0))*고양시_Modal_split!J$3 * 0.01</f>
        <v>489.92324365610801</v>
      </c>
      <c r="AI88" s="207">
        <f>INDEX($A$87:$H$100,MATCH($L88,$B$87:$B$100,0),MATCH($AA$86,$A$87:$H$87,0))*고양시_Modal_split!K$3 * 0.01</f>
        <v>2.4142078366759594</v>
      </c>
      <c r="AJ88" s="207">
        <f>INDEX($A$87:$H$100,MATCH($L88,$B$87:$B$100,0),MATCH($AA$86,$A$87:$H$87,0))*고양시_Modal_split!L$3 * 0.01</f>
        <v>48.606051111742644</v>
      </c>
      <c r="AK88" s="207">
        <f>INDEX($A$87:$H$100,MATCH($L88,$B$87:$B$100,0),MATCH($AA$86,$A$87:$H$87,0))*고양시_Modal_split!M$3 * 0.01</f>
        <v>3.7017853495698034</v>
      </c>
      <c r="AL88" s="207">
        <f>INDEX($A$87:$H$100,MATCH($L88,$B$87:$B$100,0),MATCH($AA$86,$A$87:$H$87,0))*고양시_Modal_split!N$3 * 0.01</f>
        <v>1.609471891117306</v>
      </c>
      <c r="AM88" s="207">
        <f>INDEX($A$87:$H$100,MATCH($L88,$B$87:$B$100,0),MATCH($AA$86,$A$87:$H$87,0))*고양시_Modal_split!O$3 * 0.01</f>
        <v>2.8970494040111512</v>
      </c>
      <c r="AN88" s="207">
        <f>INDEX($A$87:$H$100,MATCH($L88,$B$87:$B$100,0),MATCH($AA$86,$A$87:$H$87,0))*고양시_Modal_split!P$3 * 0.01</f>
        <v>1609.4718911173061</v>
      </c>
      <c r="AO88" s="303">
        <f>INDEX($A$87:$H$100,MATCH($L88,$B$87:$B$100,0),MATCH($AO$86,$A$87:$H$87,0))*고양시_Modal_split!C$3 * 0.01</f>
        <v>0.25852797212461853</v>
      </c>
      <c r="AP88" s="303">
        <f>INDEX($A$87:$H$100,MATCH($L88,$B$87:$B$100,0),MATCH($AO$86,$A$87:$H$87,0))*고양시_Modal_split!D$3 * 0.01</f>
        <v>43.423466175074317</v>
      </c>
      <c r="AQ88" s="303">
        <f>INDEX($A$87:$H$100,MATCH($L88,$B$87:$B$100,0),MATCH($AO$86,$A$87:$H$87,0))*고양시_Modal_split!E$3 * 0.01</f>
        <v>5.2536577192467124</v>
      </c>
      <c r="AR88" s="303">
        <f>INDEX($A$87:$H$100,MATCH($L88,$B$87:$B$100,0),MATCH($AO$86,$A$87:$H$87,0))*고양시_Modal_split!F$3 * 0.01</f>
        <v>8.4667910870812566</v>
      </c>
      <c r="AS88" s="303">
        <f>INDEX($A$87:$H$100,MATCH($L88,$B$87:$B$100,0),MATCH($AO$86,$A$87:$H$87,0))*고양시_Modal_split!G$3 * 0.01</f>
        <v>0.84944905126660375</v>
      </c>
      <c r="AT88" s="303">
        <f>INDEX($A$87:$H$100,MATCH($L88,$B$87:$B$100,0),MATCH($AO$86,$A$87:$H$87,0))*고양시_Modal_split!H$3 * 0.01</f>
        <v>9.233141861593519E-3</v>
      </c>
      <c r="AU88" s="303">
        <f>INDEX($A$87:$H$100,MATCH($L88,$B$87:$B$100,0),MATCH($AO$86,$A$87:$H$87,0))*고양시_Modal_split!I$3 * 0.01</f>
        <v>2.5668134375229985</v>
      </c>
      <c r="AV88" s="303">
        <f>INDEX($A$87:$H$100,MATCH($L88,$B$87:$B$100,0),MATCH($AO$86,$A$87:$H$87,0))*고양시_Modal_split!J$3 * 0.01</f>
        <v>28.105683826690676</v>
      </c>
      <c r="AW88" s="303">
        <f>INDEX($A$87:$H$100,MATCH($L88,$B$87:$B$100,0),MATCH($AO$86,$A$87:$H$87,0))*고양시_Modal_split!K$3 * 0.01</f>
        <v>0.13849712792390279</v>
      </c>
      <c r="AX88" s="303">
        <f>INDEX($A$87:$H$100,MATCH($L88,$B$87:$B$100,0),MATCH($AO$86,$A$87:$H$87,0))*고양시_Modal_split!L$3 * 0.01</f>
        <v>2.788408842201243</v>
      </c>
      <c r="AY88" s="303">
        <f>INDEX($A$87:$H$100,MATCH($L88,$B$87:$B$100,0),MATCH($AO$86,$A$87:$H$87,0))*고양시_Modal_split!M$3 * 0.01</f>
        <v>0.21236226281665094</v>
      </c>
      <c r="AZ88" s="303">
        <f>INDEX($A$87:$H$100,MATCH($L88,$B$87:$B$100,0),MATCH($AO$86,$A$87:$H$87,0))*고양시_Modal_split!N$3 * 0.01</f>
        <v>9.2331418615935204E-2</v>
      </c>
      <c r="BA88" s="207">
        <f>INDEX($A$87:$H$100,MATCH($L88,$B$87:$B$100,0),MATCH($AO$86,$A$87:$H$87,0))*고양시_Modal_split!O$3 * 0.01</f>
        <v>0.16619655350868334</v>
      </c>
      <c r="BB88" s="207">
        <f>INDEX($A$87:$H$100,MATCH($L88,$B$87:$B$100,0),MATCH($AO$86,$A$87:$H$87,0))*고양시_Modal_split!P$3 * 0.01</f>
        <v>92.331418615935206</v>
      </c>
      <c r="BC88" s="207">
        <f>INDEX($A$87:$H$100,MATCH($L88,$B$87:$B$100,0),MATCH($BC$86,$A$87:$H$87,0))*고양시_Modal_split!C$3 * 0.01</f>
        <v>4.0627758846194467E-4</v>
      </c>
      <c r="BD88" s="207">
        <f>INDEX($A$87:$H$100,MATCH($L88,$B$87:$B$100,0),MATCH($BC$86,$A$87:$H$87,0))*고양시_Modal_split!D$3 * 0.01</f>
        <v>6.8240124947733086E-2</v>
      </c>
      <c r="BE88" s="207">
        <f>INDEX($A$87:$H$100,MATCH($L88,$B$87:$B$100,0),MATCH($BC$86,$A$87:$H$87,0))*고양시_Modal_split!E$3 * 0.01</f>
        <v>8.2561409941016625E-3</v>
      </c>
      <c r="BF88" s="207">
        <f>INDEX($A$87:$H$100,MATCH($L88,$B$87:$B$100,0),MATCH($BC$86,$A$87:$H$87,0))*고양시_Modal_split!F$3 * 0.01</f>
        <v>1.3305591022128692E-2</v>
      </c>
      <c r="BG88" s="207">
        <f>INDEX($A$87:$H$100,MATCH($L88,$B$87:$B$100,0),MATCH($BC$86,$A$87:$H$87,0))*고양시_Modal_split!G$3 * 0.01</f>
        <v>1.3349120763749612E-3</v>
      </c>
      <c r="BH88" s="207">
        <f>INDEX($A$87:$H$100,MATCH($L88,$B$87:$B$100,0),MATCH($BC$86,$A$87:$H$87,0))*고양시_Modal_split!H$3 * 0.01</f>
        <v>1.4509913873640885E-5</v>
      </c>
      <c r="BI88" s="207">
        <f>INDEX($A$87:$H$100,MATCH($L88,$B$87:$B$100,0),MATCH($BC$86,$A$87:$H$87,0))*고양시_Modal_split!I$3 * 0.01</f>
        <v>4.0337560568721653E-3</v>
      </c>
      <c r="BJ88" s="207">
        <f>INDEX($A$87:$H$100,MATCH($L88,$B$87:$B$100,0),MATCH($BC$86,$A$87:$H$87,0))*고양시_Modal_split!J$3 * 0.01</f>
        <v>4.4168177831362856E-2</v>
      </c>
      <c r="BK88" s="207">
        <f>INDEX($A$87:$H$100,MATCH($L88,$B$87:$B$100,0),MATCH($BC$86,$A$87:$H$87,0))*고양시_Modal_split!K$3 * 0.01</f>
        <v>2.1764870810461325E-4</v>
      </c>
      <c r="BL88" s="207">
        <f>INDEX($A$87:$H$100,MATCH($L88,$B$87:$B$100,0),MATCH($BC$86,$A$87:$H$87,0))*고양시_Modal_split!L$3 * 0.01</f>
        <v>4.381993989839547E-3</v>
      </c>
      <c r="BM88" s="207">
        <f>INDEX($A$87:$H$100,MATCH($L88,$B$87:$B$100,0),MATCH($BC$86,$A$87:$H$87,0))*고양시_Modal_split!M$3 * 0.01</f>
        <v>3.337280190937403E-4</v>
      </c>
      <c r="BN88" s="207">
        <f>INDEX($A$87:$H$100,MATCH($L88,$B$87:$B$100,0),MATCH($BC$86,$A$87:$H$87,0))*고양시_Modal_split!N$3 * 0.01</f>
        <v>1.4509913873640885E-4</v>
      </c>
      <c r="BO88" s="207">
        <f>INDEX($A$87:$H$100,MATCH($L88,$B$87:$B$100,0),MATCH($BC$86,$A$87:$H$87,0))*고양시_Modal_split!O$3 * 0.01</f>
        <v>2.6117844972553593E-4</v>
      </c>
      <c r="BP88" s="207">
        <f>INDEX($A$87:$H$100,MATCH($L88,$B$87:$B$100,0),MATCH($BC$86,$A$87:$H$87,0))*고양시_Modal_split!P$3 * 0.01</f>
        <v>0.14509913873640884</v>
      </c>
      <c r="BQ88" s="207">
        <f>INDEX($A$87:$H$100,MATCH($L88,$B$87:$B$100,0),MATCH($BQ$86,$A$87:$H$87,0))*고양시_Modal_split!C$3 * 0.01</f>
        <v>1.5348264453006848E-3</v>
      </c>
      <c r="BR88" s="207">
        <f>INDEX($A$87:$H$100,MATCH($L88,$B$87:$B$100,0),MATCH($BQ$86,$A$87:$H$87,0))*고양시_Modal_split!D$3 * 0.01</f>
        <v>0.25779602758032577</v>
      </c>
      <c r="BS88" s="207">
        <f>INDEX($A$87:$H$100,MATCH($L88,$B$87:$B$100,0),MATCH($BQ$86,$A$87:$H$87,0))*고양시_Modal_split!E$3 * 0.01</f>
        <v>3.1189865977717487E-2</v>
      </c>
      <c r="BT88" s="207">
        <f>INDEX($A$87:$H$100,MATCH($L88,$B$87:$B$100,0),MATCH($BQ$86,$A$87:$H$87,0))*고양시_Modal_split!F$3 * 0.01</f>
        <v>5.0265566083597425E-2</v>
      </c>
      <c r="BU88" s="207">
        <f>INDEX($A$87:$H$100,MATCH($L88,$B$87:$B$100,0),MATCH($BQ$86,$A$87:$H$87,0))*고양시_Modal_split!G$3 * 0.01</f>
        <v>5.0430011774165355E-3</v>
      </c>
      <c r="BV88" s="207">
        <f>INDEX($A$87:$H$100,MATCH($L88,$B$87:$B$100,0),MATCH($BQ$86,$A$87:$H$87,0))*고양시_Modal_split!H$3 * 0.01</f>
        <v>5.4815230189310175E-5</v>
      </c>
      <c r="BW88" s="207">
        <f>INDEX($A$87:$H$100,MATCH($L88,$B$87:$B$100,0),MATCH($BQ$86,$A$87:$H$87,0))*고양시_Modal_split!I$3 * 0.01</f>
        <v>1.5238633992628226E-2</v>
      </c>
      <c r="BX88" s="207">
        <f>INDEX($A$87:$H$100,MATCH($L88,$B$87:$B$100,0),MATCH($BQ$86,$A$87:$H$87,0))*고양시_Modal_split!J$3 * 0.01</f>
        <v>0.16685756069626018</v>
      </c>
      <c r="BY88" s="207">
        <f>INDEX($A$87:$H$100,MATCH($L88,$B$87:$B$100,0),MATCH($BQ$86,$A$87:$H$87,0))*고양시_Modal_split!K$3 * 0.01</f>
        <v>8.2222845283965254E-4</v>
      </c>
      <c r="BZ88" s="207">
        <f>INDEX($A$87:$H$100,MATCH($L88,$B$87:$B$100,0),MATCH($BQ$86,$A$87:$H$87,0))*고양시_Modal_split!L$3 * 0.01</f>
        <v>1.6554199517171672E-2</v>
      </c>
      <c r="CA88" s="207">
        <f>INDEX($A$87:$H$100,MATCH($L88,$B$87:$B$100,0),MATCH($BQ$86,$A$87:$H$87,0))*고양시_Modal_split!M$3 * 0.01</f>
        <v>1.2607502943541339E-3</v>
      </c>
      <c r="CB88" s="207">
        <f>INDEX($A$87:$H$100,MATCH($L88,$B$87:$B$100,0),MATCH($BQ$86,$A$87:$H$87,0))*고양시_Modal_split!N$3 * 0.01</f>
        <v>5.4815230189310176E-4</v>
      </c>
      <c r="CC88" s="207">
        <f>INDEX($A$87:$H$100,MATCH($L88,$B$87:$B$100,0),MATCH($BQ$86,$A$87:$H$87,0))*고양시_Modal_split!O$3 * 0.01</f>
        <v>9.86674143407583E-4</v>
      </c>
      <c r="CD88" s="207">
        <f>INDEX($A$87:$H$100,MATCH($L88,$B$87:$B$100,0),MATCH($BQ$86,$A$87:$H$87,0))*고양시_Modal_split!P$3 * 0.01</f>
        <v>0.54815230189310171</v>
      </c>
      <c r="CE88" s="304">
        <f>M88+AA88+AO88+BC88+BQ88</f>
        <v>5.3896784885361804</v>
      </c>
      <c r="CF88" s="304">
        <f t="shared" ref="CF88:CF100" si="51">N88+AB88+AP88+BD88+BR88</f>
        <v>905.27349755663045</v>
      </c>
      <c r="CG88" s="304">
        <f t="shared" ref="CG88:CG100" si="52">O88+AC88+AQ88+BE88+BS88</f>
        <v>109.5259664277531</v>
      </c>
      <c r="CH88" s="304">
        <f t="shared" ref="CH88:CH100" si="53">P88+AD88+AR88+BF88+BT88</f>
        <v>176.51197049955988</v>
      </c>
      <c r="CI88" s="304">
        <f t="shared" ref="CI88:CI100" si="54">Q88+AE88+AS88+BG88+BU88</f>
        <v>17.708943605190303</v>
      </c>
      <c r="CJ88" s="304">
        <f t="shared" ref="CJ88:CJ100" si="55">R88+AF88+AT88+BH88+BV88</f>
        <v>0.19248851744772072</v>
      </c>
      <c r="CK88" s="304">
        <f t="shared" ref="CK88:CK100" si="56">S88+AG88+AU88+BI88+BW88</f>
        <v>53.511807850466361</v>
      </c>
      <c r="CL88" s="304">
        <f t="shared" ref="CL88:CL100" si="57">T88+AH88+AV88+BJ88+BX88</f>
        <v>585.93504711086189</v>
      </c>
      <c r="CM88" s="304">
        <f t="shared" ref="CM88:CM100" si="58">U88+AI88+AW88+BK88+BY88</f>
        <v>2.8873277617158108</v>
      </c>
      <c r="CN88" s="304">
        <f t="shared" ref="CN88:CN100" si="59">V88+AJ88+AX88+BL88+BZ88</f>
        <v>58.131532269211661</v>
      </c>
      <c r="CO88" s="304">
        <f t="shared" ref="CO88:CO100" si="60">W88+AK88+AY88+BM88+CA88</f>
        <v>4.4272359012975757</v>
      </c>
      <c r="CP88" s="304">
        <f t="shared" ref="CP88:CP100" si="61">X88+AL88+AZ88+BN88+CB88</f>
        <v>1.9248851744772071</v>
      </c>
      <c r="CQ88" s="304">
        <f t="shared" ref="CQ88:CQ100" si="62">Y88+AM88+BA88+BO88+CC88</f>
        <v>3.4647933140589728</v>
      </c>
      <c r="CR88" s="304">
        <f t="shared" ref="CR88:CR100" si="63">Z88+AN88+BB88+BP88+CD88</f>
        <v>1924.8851744772073</v>
      </c>
      <c r="CS88" s="305">
        <f>H88-CR88</f>
        <v>0</v>
      </c>
      <c r="CV88" s="265" t="s">
        <v>605</v>
      </c>
      <c r="CW88" s="265" t="s">
        <v>606</v>
      </c>
      <c r="CX88" s="267">
        <f>INDEX($M$86:$Z$100,MATCH($CW88,$L$86:$L$100,0),MATCH(CX$87,$M$87:$Z$87,0))/INDEX(고양시_재차인원!$D$4:$H$35,MATCH("고양시",고양시_재차인원!$B$4:$B$35,0),MATCH($CX$86,고양시_재차인원!$D$4:$H$4,0))</f>
        <v>93.383361461213482</v>
      </c>
      <c r="CY88" s="267">
        <f>INDEX($M$86:$Z$100,MATCH($CW88,$L$86:$L$100,0),MATCH(CY$87,$M$87:$Z$87,0))/INDEX(고양시_재차인원!$K$4:$O$20,MATCH("경기도",고양시_재차인원!$K$4:$K$20,0),MATCH($CY$87,고양시_재차인원!$K$4:$O$4,0))</f>
        <v>7.7245089719811186E-4</v>
      </c>
      <c r="CZ88" s="267">
        <f>INDEX($M$86:$Z$100,MATCH($CW88,$L$86:$L$100,0),MATCH(CZ$87,$M$87:$Z$87,0))/INDEX(고양시_재차인원!$K$4:$O$20,MATCH("경기도",고양시_재차인원!$K$4:$K$20,0),MATCH($CZ$87,고양시_재차인원!$K$4:$O$4,0))</f>
        <v>0.21474134942107509</v>
      </c>
      <c r="DA88" s="267">
        <f>INDEX($M$86:$Z$100,MATCH($CW88,$L$86:$L$100,0),MATCH(DA$87,$M$87:$Z$87,0))/INDEX(고양시_재차인원!$D$4:$H$35,MATCH("고양시",고양시_재차인원!$B$4:$B$35,0),MATCH($CX$86,고양시_재차인원!$D$4:$H$4,0))</f>
        <v>5.9965501087149633</v>
      </c>
      <c r="DB88" s="267">
        <f>INDEX($AA$86:$AN$100,MATCH($CW88,$L$86:$L$100,0),MATCH(DB$87,$AA$87:$AN$87,0))/INDEX(고양시_재차인원!$D$4:$H$35,MATCH("고양시",고양시_재차인원!$B$4:$B$35,0),MATCH($DB$86,고양시_재차인원!$D$4:$H$4,0))</f>
        <v>536.83307120033271</v>
      </c>
      <c r="DC88" s="267">
        <f>INDEX($AA$86:$AN$100,MATCH($CW88,$L$86:$L$100,0),MATCH(DC$87,$AA$87:$AN$87,0))/INDEX(고양시_재차인원!$K$4:$O$20,MATCH("경기도",고양시_재차인원!$K$4:$K$20,0),MATCH(DC$87,고양시_재차인원!$K$4:$O$4,0))</f>
        <v>5.5903851723421542E-3</v>
      </c>
      <c r="DD88" s="267">
        <f>INDEX($AA$86:$AN$100,MATCH($CW88,$L$86:$L$100,0),MATCH(DD$87,$AA$87:$AN$87,0))/INDEX(고양시_재차인원!$K$4:$O$20,MATCH("경기도",고양시_재차인원!$K$4:$K$20,0),MATCH(DD$87,고양시_재차인원!$K$4:$O$4,0))</f>
        <v>1.5541270779111189</v>
      </c>
      <c r="DE88" s="267">
        <f>INDEX($AA$86:$AN$100,MATCH($CW88,$L$86:$L$100,0),MATCH(DE$87,$AA$87:$AN$87,0))/INDEX(고양시_재차인원!$D$4:$H$35,MATCH("고양시",고양시_재차인원!$B$4:$B$35,0),MATCH($DB$86,고양시_재차인원!$D$4:$H$4,0))</f>
        <v>34.472376674994784</v>
      </c>
      <c r="DF88" s="267">
        <f>INDEX($AO$86:$BB$100,MATCH($CW88,$L$86:$L$100,0),MATCH(DF$87,$AO$87:$BB$87,0))/INDEX(고양시_재차인원!$D$4:$H$35,MATCH("고양시",고양시_재차인원!$B$4:$B$35,0),MATCH($DF$86,고양시_재차인원!$D$4:$H$4,0))</f>
        <v>33.402666288518702</v>
      </c>
      <c r="DG88" s="267">
        <f>INDEX($AO$86:$BB$100,MATCH($CW88,$L$86:$L$100,0),MATCH(DG$87,$AO$87:$BB$87,0))/INDEX(고양시_재차인원!$K$4:$O$20,MATCH("경기도",고양시_재차인원!$K$4:$K$20,0),MATCH(DG$87,고양시_재차인원!$K$4:$O$4,0))</f>
        <v>3.2070655997198748E-4</v>
      </c>
      <c r="DH88" s="267">
        <f>INDEX($AO$86:$BB$100,MATCH($CW88,$L$86:$L$100,0),MATCH(DH$87,$AO$87:$BB$87,0))/INDEX(고양시_재차인원!$K$4:$O$20,MATCH("경기도",고양시_재차인원!$K$4:$K$20,0),MATCH(DH$87,고양시_재차인원!$K$4:$O$4,0))</f>
        <v>8.915642367221252E-2</v>
      </c>
      <c r="DI88" s="267">
        <f>INDEX($AO$86:$BB$100,MATCH($CW88,$L$86:$L$100,0),MATCH(DI$87,$AO$87:$BB$87,0))/INDEX(고양시_재차인원!$D$4:$H$35,MATCH("고양시",고양시_재차인원!$B$4:$B$35,0),MATCH($DF$86,고양시_재차인원!$D$4:$H$4,0))</f>
        <v>2.1449298786163409</v>
      </c>
      <c r="DJ88" s="267">
        <f>INDEX($BC$86:$BP$100,MATCH($CW88,$L$86:$L$100,0),MATCH(DJ$87,$BC$87:$BP$87,0))/INDEX(고양시_재차인원!$D$4:$H$35,MATCH("고양시",고양시_재차인원!$B$4:$B$35,0),MATCH($DJ$86,고양시_재차인원!$D$4:$H$4,0))</f>
        <v>5.0176562461568444E-2</v>
      </c>
      <c r="DK88" s="267">
        <f>INDEX($BC$86:$BP$100,MATCH($CW88,$L$86:$L$100,0),MATCH(DK$87,$BC$87:$BP$87,0))/INDEX(고양시_재차인원!$K$4:$O$20,MATCH("경기도",고양시_재차인원!$K$4:$K$20,0),MATCH(DK$87,고양시_재차인원!$K$4:$O$4,0))</f>
        <v>5.0399145097745344E-7</v>
      </c>
      <c r="DL88" s="267">
        <f>INDEX($BC$86:$BP$100,MATCH($CW88,$L$86:$L$100,0),MATCH(DL$87,$BC$87:$BP$87,0))/INDEX(고양시_재차인원!$K$4:$O$20,MATCH("경기도",고양시_재차인원!$K$4:$K$20,0),MATCH(DL$87,고양시_재차인원!$K$4:$O$4,0))</f>
        <v>1.4010962337173205E-4</v>
      </c>
      <c r="DM88" s="267">
        <f>INDEX($BC$86:$BP$100,MATCH($CW88,$L$86:$L$100,0),MATCH(DM$87,$BC$87:$BP$87,0))/INDEX(고양시_재차인원!$D$4:$H$35,MATCH("고양시",고양시_재차인원!$B$4:$B$35,0),MATCH($DJ$86,고양시_재차인원!$D$4:$H$4,0))</f>
        <v>3.2220544042937845E-3</v>
      </c>
      <c r="DN88" s="267">
        <f>INDEX($BQ$86:$CD$100,MATCH($CW88,$L$86:$L$100,0),MATCH(DN$87,$BQ$87:$CD$87,0))/INDEX(고양시_재차인원!$D$4:$H$35,MATCH("고양시",고양시_재차인원!$B$4:$B$35,0),MATCH($DN$86,고양시_재차인원!$D$4:$H$4,0))</f>
        <v>0.20460002188914744</v>
      </c>
      <c r="DO88" s="267">
        <f>INDEX($BQ$86:$CD$100,MATCH($CW88,$L$86:$L$100,0),MATCH(DO$87,$BQ$87:$CD$87,0))/INDEX(고양시_재차인원!$K$4:$O$20,MATCH("경기도",고양시_재차인원!$K$4:$K$20,0),MATCH(DO$87,고양시_재차인원!$K$4:$O$4,0))</f>
        <v>1.9039677036926078E-6</v>
      </c>
      <c r="DP88" s="267">
        <f>INDEX($BQ$86:$CD$100,MATCH($CW88,$L$86:$L$100,0),MATCH(DP$87,$BQ$87:$CD$87,0))/INDEX(고양시_재차인원!$K$4:$O$20,MATCH("경기도",고양시_재차인원!$K$4:$K$20,0),MATCH(DP$87,고양시_재차인원!$K$4:$O$4,0))</f>
        <v>5.293030216265448E-4</v>
      </c>
      <c r="DQ88" s="267">
        <f>INDEX($BQ$86:$CD$100,MATCH($CW88,$L$86:$L$100,0),MATCH(DQ$87,$BQ$87:$CD$87,0))/INDEX(고양시_재차인원!$D$4:$H$35,MATCH("고양시",고양시_재차인원!$B$4:$B$35,0),MATCH($DN$86,고양시_재차인원!$D$4:$H$4,0))</f>
        <v>1.3138253585056882E-2</v>
      </c>
      <c r="DR88" s="270">
        <f>CX88+DB88+DF88+DJ88+DN88</f>
        <v>663.87387553441567</v>
      </c>
      <c r="DS88" s="270">
        <f t="shared" ref="DS88:DS100" si="64">CY88+DC88+DG88+DK88+DO88</f>
        <v>6.6859505886669238E-3</v>
      </c>
      <c r="DT88" s="270">
        <f t="shared" ref="DT88:DT100" si="65">CZ88+DD88+DH88+DL88+DP88</f>
        <v>1.8586942636494046</v>
      </c>
      <c r="DU88" s="270">
        <f t="shared" ref="DU88:DU100" si="66">DA88+DE88+DI88+DM88+DQ88</f>
        <v>42.630216970315438</v>
      </c>
      <c r="DW88" s="278" t="s">
        <v>605</v>
      </c>
      <c r="DX88" s="278" t="s">
        <v>606</v>
      </c>
      <c r="DY88" s="281">
        <f>DR88+DU88</f>
        <v>706.50409250473115</v>
      </c>
      <c r="DZ88" s="281">
        <f>DS88+DT88</f>
        <v>1.8653802142380715</v>
      </c>
      <c r="EB88" s="278" t="s">
        <v>636</v>
      </c>
      <c r="EC88" s="278" t="s">
        <v>606</v>
      </c>
      <c r="ED88" s="309">
        <f>DY88+DY$94*($EN90/SUM($EN$90:$EN$93))</f>
        <v>829.70415080511452</v>
      </c>
      <c r="EE88" s="309">
        <f t="shared" ref="EE88:EE91" si="67">DZ88+DZ$94*($EN90/SUM($EN$90:$EN$93))</f>
        <v>2.1906648850341903</v>
      </c>
      <c r="EF88" t="b">
        <f>SUM(ED88:EE91) = SUM(DY88:DZ91)+DY94+DZ94</f>
        <v>1</v>
      </c>
      <c r="EK88" s="420" t="s">
        <v>12</v>
      </c>
      <c r="EL88" s="420" t="s">
        <v>12</v>
      </c>
      <c r="EM88" s="420" t="s">
        <v>567</v>
      </c>
      <c r="EN88" s="420">
        <v>14267.0414</v>
      </c>
      <c r="EO88" s="420">
        <v>0.4735987268619668</v>
      </c>
      <c r="EP88" s="421">
        <v>849001</v>
      </c>
      <c r="EQ88" s="422">
        <f>VLOOKUP($EL88,$EC$88:$EE$99,2,FALSE)*$EO88 * $CW$9*(1-$DA$5)</f>
        <v>33.478927473544537</v>
      </c>
      <c r="ER88" s="422">
        <f>VLOOKUP($EL88,$EC$88:$EE$99,3,FALSE)*$EO88* $CW$9*(1-$DA$5)</f>
        <v>8.8394291789106877E-2</v>
      </c>
      <c r="ES88">
        <v>0</v>
      </c>
      <c r="EU88" s="306" t="s">
        <v>12</v>
      </c>
      <c r="EV88" s="306" t="s">
        <v>12</v>
      </c>
      <c r="EW88" s="306" t="s">
        <v>567</v>
      </c>
      <c r="EX88" s="306">
        <v>14267.0414</v>
      </c>
      <c r="EY88" s="306">
        <v>0.4735987268619668</v>
      </c>
      <c r="EZ88" s="307">
        <v>849001</v>
      </c>
      <c r="FA88" s="308">
        <f>EQ88*$EG$55</f>
        <v>33.478927473544537</v>
      </c>
      <c r="FB88" s="308">
        <f t="shared" ref="FB88:FB107" si="68">ER88*$EG$55</f>
        <v>8.8394291789106877E-2</v>
      </c>
      <c r="FD88" s="101"/>
      <c r="FE88" s="101"/>
      <c r="FF88" s="101"/>
      <c r="FG88" s="101"/>
      <c r="FH88" s="101"/>
      <c r="FI88" s="374"/>
      <c r="FJ88" s="404"/>
      <c r="FK88" s="404"/>
    </row>
    <row r="89" spans="1:167">
      <c r="A89" s="205" t="s">
        <v>605</v>
      </c>
      <c r="B89" s="205" t="s">
        <v>607</v>
      </c>
      <c r="C89" s="201">
        <f>$K30*KTDB_TripDistribution_2035!T$12</f>
        <v>221.06751461686113</v>
      </c>
      <c r="D89" s="201">
        <f>$K30*KTDB_TripDistribution_2035!U$12</f>
        <v>1599.9108296506663</v>
      </c>
      <c r="E89" s="201">
        <f>$K30*KTDB_TripDistribution_2035!V$12</f>
        <v>91.7829241852085</v>
      </c>
      <c r="F89" s="201">
        <f>$K30*KTDB_TripDistribution_2035!W$12</f>
        <v>0.14423717787093995</v>
      </c>
      <c r="G89" s="201">
        <f>$K30*KTDB_TripDistribution_2035!X$12</f>
        <v>0.54489600529021931</v>
      </c>
      <c r="H89" s="201">
        <f>$K30*KTDB_TripDistribution_2035!Y$12</f>
        <v>1913.4504016358974</v>
      </c>
      <c r="J89" s="230">
        <f t="shared" si="50"/>
        <v>1913.4504016358972</v>
      </c>
      <c r="K89" s="206" t="s">
        <v>605</v>
      </c>
      <c r="L89" s="206" t="s">
        <v>607</v>
      </c>
      <c r="M89" s="206">
        <f>INDEX($A$87:$H$100,MATCH($L89,$B$87:$B$100,0),MATCH($M$86,$A$87:$H$87,0))*고양시_Modal_split!C$3 * 0.01</f>
        <v>0.61898904092721108</v>
      </c>
      <c r="N89" s="206">
        <f>INDEX($A$87:$H$100,MATCH($L89,$B$87:$B$100,0),MATCH($M$86,$A$87:$H$87,0))*고양시_Modal_split!D$3 * 0.01</f>
        <v>103.96805212430979</v>
      </c>
      <c r="O89" s="206">
        <f>INDEX($A$87:$H$100,MATCH($L89,$B$87:$B$100,0),MATCH($M$86,$A$87:$H$87,0))*고양시_Modal_split!E$3 * 0.01</f>
        <v>12.578741581699397</v>
      </c>
      <c r="P89" s="206">
        <f>INDEX($A$87:$H$100,MATCH($L89,$B$87:$B$100,0),MATCH($M$86,$A$87:$H$87,0))*고양시_Modal_split!F$3 * 0.01</f>
        <v>20.271891090366168</v>
      </c>
      <c r="Q89" s="206">
        <f>INDEX($A$87:$H$100,MATCH($L89,$B$87:$B$100,0),MATCH($M$86,$A$87:$H$87,0))*고양시_Modal_split!G$3 * 0.01</f>
        <v>2.0338211344751222</v>
      </c>
      <c r="R89" s="206">
        <f>INDEX($A$87:$H$100,MATCH($L89,$B$87:$B$100,0),MATCH($M$86,$A$87:$H$87,0))*고양시_Modal_split!H$3 * 0.01</f>
        <v>2.210675146168611E-2</v>
      </c>
      <c r="S89" s="206">
        <f>INDEX($A$87:$H$100,MATCH($L89,$B$87:$B$100,0),MATCH($M$86,$A$87:$H$87,0))*고양시_Modal_split!I$3 * 0.01</f>
        <v>6.1456769063487391</v>
      </c>
      <c r="T89" s="206">
        <f>INDEX($A$87:$H$100,MATCH($L89,$B$87:$B$100,0),MATCH($M$86,$A$87:$H$87,0))*고양시_Modal_split!J$3 * 0.01</f>
        <v>67.292951449372538</v>
      </c>
      <c r="U89" s="206">
        <f>INDEX($A$87:$H$100,MATCH($L89,$B$87:$B$100,0),MATCH($M$86,$A$87:$H$87,0))*고양시_Modal_split!K$3 * 0.01</f>
        <v>0.33160127192529165</v>
      </c>
      <c r="V89" s="206">
        <f>INDEX($A$87:$H$100,MATCH($L89,$B$87:$B$100,0),MATCH($M$86,$A$87:$H$87,0))*고양시_Modal_split!L$3 * 0.01</f>
        <v>6.6762389414292072</v>
      </c>
      <c r="W89" s="206">
        <f>INDEX($A$87:$H$100,MATCH($L89,$B$87:$B$100,0),MATCH($M$86,$A$87:$H$87,0))*고양시_Modal_split!M$3 * 0.01</f>
        <v>0.50845528361878056</v>
      </c>
      <c r="X89" s="206">
        <f>INDEX($A$87:$H$100,MATCH($L89,$B$87:$B$100,0),MATCH($M$86,$A$87:$H$87,0))*고양시_Modal_split!N$3 * 0.01</f>
        <v>0.22106751461686117</v>
      </c>
      <c r="Y89" s="206">
        <f>INDEX($A$87:$H$100,MATCH($L89,$B$87:$B$100,0),MATCH($M$86,$A$87:$H$87,0))*고양시_Modal_split!O$3 * 0.01</f>
        <v>0.39792152631035005</v>
      </c>
      <c r="Z89" s="209">
        <f>INDEX($A$87:$H$100,MATCH($L89,$B$87:$B$100,0),MATCH($M$86,$A$87:$H$87,0))*고양시_Modal_split!P$3 * 0.01</f>
        <v>221.06751461686113</v>
      </c>
      <c r="AA89" s="207">
        <f>INDEX($A$87:$H$100,MATCH($L89,$B$87:$B$100,0),MATCH($AA$86,$A$87:$H$87,0))*고양시_Modal_split!C$3 * 0.01</f>
        <v>4.4797503230218654</v>
      </c>
      <c r="AB89" s="207">
        <f>INDEX($A$87:$H$100,MATCH($L89,$B$87:$B$100,0),MATCH($AA$86,$A$87:$H$87,0))*고양시_Modal_split!D$3 * 0.01</f>
        <v>752.43806318470843</v>
      </c>
      <c r="AC89" s="207">
        <f>INDEX($A$87:$H$100,MATCH($L89,$B$87:$B$100,0),MATCH($AA$86,$A$87:$H$87,0))*고양시_Modal_split!E$3 * 0.01</f>
        <v>91.034926207122894</v>
      </c>
      <c r="AD89" s="207">
        <f>INDEX($A$87:$H$100,MATCH($L89,$B$87:$B$100,0),MATCH($AA$86,$A$87:$H$87,0))*고양시_Modal_split!F$3 * 0.01</f>
        <v>146.71182307896609</v>
      </c>
      <c r="AE89" s="207">
        <f>INDEX($A$87:$H$100,MATCH($L89,$B$87:$B$100,0),MATCH($AA$86,$A$87:$H$87,0))*고양시_Modal_split!G$3 * 0.01</f>
        <v>14.71917963278613</v>
      </c>
      <c r="AF89" s="207">
        <f>INDEX($A$87:$H$100,MATCH($L89,$B$87:$B$100,0),MATCH($AA$86,$A$87:$H$87,0))*고양시_Modal_split!H$3 * 0.01</f>
        <v>0.15999108296506664</v>
      </c>
      <c r="AG89" s="207">
        <f>INDEX($A$87:$H$100,MATCH($L89,$B$87:$B$100,0),MATCH($AA$86,$A$87:$H$87,0))*고양시_Modal_split!I$3 * 0.01</f>
        <v>44.477521064288524</v>
      </c>
      <c r="AH89" s="207">
        <f>INDEX($A$87:$H$100,MATCH($L89,$B$87:$B$100,0),MATCH($AA$86,$A$87:$H$87,0))*고양시_Modal_split!J$3 * 0.01</f>
        <v>487.01285654566288</v>
      </c>
      <c r="AI89" s="207">
        <f>INDEX($A$87:$H$100,MATCH($L89,$B$87:$B$100,0),MATCH($AA$86,$A$87:$H$87,0))*고양시_Modal_split!K$3 * 0.01</f>
        <v>2.3998662444759993</v>
      </c>
      <c r="AJ89" s="207">
        <f>INDEX($A$87:$H$100,MATCH($L89,$B$87:$B$100,0),MATCH($AA$86,$A$87:$H$87,0))*고양시_Modal_split!L$3 * 0.01</f>
        <v>48.317307055450122</v>
      </c>
      <c r="AK89" s="207">
        <f>INDEX($A$87:$H$100,MATCH($L89,$B$87:$B$100,0),MATCH($AA$86,$A$87:$H$87,0))*고양시_Modal_split!M$3 * 0.01</f>
        <v>3.6797949081965324</v>
      </c>
      <c r="AL89" s="207">
        <f>INDEX($A$87:$H$100,MATCH($L89,$B$87:$B$100,0),MATCH($AA$86,$A$87:$H$87,0))*고양시_Modal_split!N$3 * 0.01</f>
        <v>1.5999108296506666</v>
      </c>
      <c r="AM89" s="207">
        <f>INDEX($A$87:$H$100,MATCH($L89,$B$87:$B$100,0),MATCH($AA$86,$A$87:$H$87,0))*고양시_Modal_split!O$3 * 0.01</f>
        <v>2.879839493371199</v>
      </c>
      <c r="AN89" s="207">
        <f>INDEX($A$87:$H$100,MATCH($L89,$B$87:$B$100,0),MATCH($AA$86,$A$87:$H$87,0))*고양시_Modal_split!P$3 * 0.01</f>
        <v>1599.9108296506663</v>
      </c>
      <c r="AO89" s="303">
        <f>INDEX($A$87:$H$100,MATCH($L89,$B$87:$B$100,0),MATCH($AO$86,$A$87:$H$87,0))*고양시_Modal_split!C$3 * 0.01</f>
        <v>0.25699218771858379</v>
      </c>
      <c r="AP89" s="303">
        <f>INDEX($A$87:$H$100,MATCH($L89,$B$87:$B$100,0),MATCH($AO$86,$A$87:$H$87,0))*고양시_Modal_split!D$3 * 0.01</f>
        <v>43.165509244303557</v>
      </c>
      <c r="AQ89" s="303">
        <f>INDEX($A$87:$H$100,MATCH($L89,$B$87:$B$100,0),MATCH($AO$86,$A$87:$H$87,0))*고양시_Modal_split!E$3 * 0.01</f>
        <v>5.2224483861383639</v>
      </c>
      <c r="AR89" s="303">
        <f>INDEX($A$87:$H$100,MATCH($L89,$B$87:$B$100,0),MATCH($AO$86,$A$87:$H$87,0))*고양시_Modal_split!F$3 * 0.01</f>
        <v>8.4164941477836201</v>
      </c>
      <c r="AS89" s="303">
        <f>INDEX($A$87:$H$100,MATCH($L89,$B$87:$B$100,0),MATCH($AO$86,$A$87:$H$87,0))*고양시_Modal_split!G$3 * 0.01</f>
        <v>0.84440290250391814</v>
      </c>
      <c r="AT89" s="303">
        <f>INDEX($A$87:$H$100,MATCH($L89,$B$87:$B$100,0),MATCH($AO$86,$A$87:$H$87,0))*고양시_Modal_split!H$3 * 0.01</f>
        <v>9.178292418520851E-3</v>
      </c>
      <c r="AU89" s="303">
        <f>INDEX($A$87:$H$100,MATCH($L89,$B$87:$B$100,0),MATCH($AO$86,$A$87:$H$87,0))*고양시_Modal_split!I$3 * 0.01</f>
        <v>2.5515652923487959</v>
      </c>
      <c r="AV89" s="303">
        <f>INDEX($A$87:$H$100,MATCH($L89,$B$87:$B$100,0),MATCH($AO$86,$A$87:$H$87,0))*고양시_Modal_split!J$3 * 0.01</f>
        <v>27.938722121977467</v>
      </c>
      <c r="AW89" s="303">
        <f>INDEX($A$87:$H$100,MATCH($L89,$B$87:$B$100,0),MATCH($AO$86,$A$87:$H$87,0))*고양시_Modal_split!K$3 * 0.01</f>
        <v>0.13767438627781275</v>
      </c>
      <c r="AX89" s="303">
        <f>INDEX($A$87:$H$100,MATCH($L89,$B$87:$B$100,0),MATCH($AO$86,$A$87:$H$87,0))*고양시_Modal_split!L$3 * 0.01</f>
        <v>2.771844310393297</v>
      </c>
      <c r="AY89" s="303">
        <f>INDEX($A$87:$H$100,MATCH($L89,$B$87:$B$100,0),MATCH($AO$86,$A$87:$H$87,0))*고양시_Modal_split!M$3 * 0.01</f>
        <v>0.21110072562597954</v>
      </c>
      <c r="AZ89" s="303">
        <f>INDEX($A$87:$H$100,MATCH($L89,$B$87:$B$100,0),MATCH($AO$86,$A$87:$H$87,0))*고양시_Modal_split!N$3 * 0.01</f>
        <v>9.1782924185208503E-2</v>
      </c>
      <c r="BA89" s="207">
        <f>INDEX($A$87:$H$100,MATCH($L89,$B$87:$B$100,0),MATCH($AO$86,$A$87:$H$87,0))*고양시_Modal_split!O$3 * 0.01</f>
        <v>0.16520926353337528</v>
      </c>
      <c r="BB89" s="207">
        <f>INDEX($A$87:$H$100,MATCH($L89,$B$87:$B$100,0),MATCH($AO$86,$A$87:$H$87,0))*고양시_Modal_split!P$3 * 0.01</f>
        <v>91.7829241852085</v>
      </c>
      <c r="BC89" s="207">
        <f>INDEX($A$87:$H$100,MATCH($L89,$B$87:$B$100,0),MATCH($BC$86,$A$87:$H$87,0))*고양시_Modal_split!C$3 * 0.01</f>
        <v>4.0386409803863183E-4</v>
      </c>
      <c r="BD89" s="207">
        <f>INDEX($A$87:$H$100,MATCH($L89,$B$87:$B$100,0),MATCH($BC$86,$A$87:$H$87,0))*고양시_Modal_split!D$3 * 0.01</f>
        <v>6.7834744752703055E-2</v>
      </c>
      <c r="BE89" s="207">
        <f>INDEX($A$87:$H$100,MATCH($L89,$B$87:$B$100,0),MATCH($BC$86,$A$87:$H$87,0))*고양시_Modal_split!E$3 * 0.01</f>
        <v>8.2070954208564827E-3</v>
      </c>
      <c r="BF89" s="207">
        <f>INDEX($A$87:$H$100,MATCH($L89,$B$87:$B$100,0),MATCH($BC$86,$A$87:$H$87,0))*고양시_Modal_split!F$3 * 0.01</f>
        <v>1.3226549210765192E-2</v>
      </c>
      <c r="BG89" s="207">
        <f>INDEX($A$87:$H$100,MATCH($L89,$B$87:$B$100,0),MATCH($BC$86,$A$87:$H$87,0))*고양시_Modal_split!G$3 * 0.01</f>
        <v>1.3269820364126476E-3</v>
      </c>
      <c r="BH89" s="207">
        <f>INDEX($A$87:$H$100,MATCH($L89,$B$87:$B$100,0),MATCH($BC$86,$A$87:$H$87,0))*고양시_Modal_split!H$3 * 0.01</f>
        <v>1.4423717787093996E-5</v>
      </c>
      <c r="BI89" s="207">
        <f>INDEX($A$87:$H$100,MATCH($L89,$B$87:$B$100,0),MATCH($BC$86,$A$87:$H$87,0))*고양시_Modal_split!I$3 * 0.01</f>
        <v>4.0097935448121305E-3</v>
      </c>
      <c r="BJ89" s="207">
        <f>INDEX($A$87:$H$100,MATCH($L89,$B$87:$B$100,0),MATCH($BC$86,$A$87:$H$87,0))*고양시_Modal_split!J$3 * 0.01</f>
        <v>4.3905796943914124E-2</v>
      </c>
      <c r="BK89" s="207">
        <f>INDEX($A$87:$H$100,MATCH($L89,$B$87:$B$100,0),MATCH($BC$86,$A$87:$H$87,0))*고양시_Modal_split!K$3 * 0.01</f>
        <v>2.1635576680640992E-4</v>
      </c>
      <c r="BL89" s="207">
        <f>INDEX($A$87:$H$100,MATCH($L89,$B$87:$B$100,0),MATCH($BC$86,$A$87:$H$87,0))*고양시_Modal_split!L$3 * 0.01</f>
        <v>4.3559627717023866E-3</v>
      </c>
      <c r="BM89" s="207">
        <f>INDEX($A$87:$H$100,MATCH($L89,$B$87:$B$100,0),MATCH($BC$86,$A$87:$H$87,0))*고양시_Modal_split!M$3 * 0.01</f>
        <v>3.3174550910316191E-4</v>
      </c>
      <c r="BN89" s="207">
        <f>INDEX($A$87:$H$100,MATCH($L89,$B$87:$B$100,0),MATCH($BC$86,$A$87:$H$87,0))*고양시_Modal_split!N$3 * 0.01</f>
        <v>1.4423717787093998E-4</v>
      </c>
      <c r="BO89" s="207">
        <f>INDEX($A$87:$H$100,MATCH($L89,$B$87:$B$100,0),MATCH($BC$86,$A$87:$H$87,0))*고양시_Modal_split!O$3 * 0.01</f>
        <v>2.5962692016769188E-4</v>
      </c>
      <c r="BP89" s="207">
        <f>INDEX($A$87:$H$100,MATCH($L89,$B$87:$B$100,0),MATCH($BC$86,$A$87:$H$87,0))*고양시_Modal_split!P$3 * 0.01</f>
        <v>0.14423717787093995</v>
      </c>
      <c r="BQ89" s="207">
        <f>INDEX($A$87:$H$100,MATCH($L89,$B$87:$B$100,0),MATCH($BQ$86,$A$87:$H$87,0))*고양시_Modal_split!C$3 * 0.01</f>
        <v>1.5257088148126138E-3</v>
      </c>
      <c r="BR89" s="207">
        <f>INDEX($A$87:$H$100,MATCH($L89,$B$87:$B$100,0),MATCH($BQ$86,$A$87:$H$87,0))*고양시_Modal_split!D$3 * 0.01</f>
        <v>0.25626459128799017</v>
      </c>
      <c r="BS89" s="207">
        <f>INDEX($A$87:$H$100,MATCH($L89,$B$87:$B$100,0),MATCH($BQ$86,$A$87:$H$87,0))*고양시_Modal_split!E$3 * 0.01</f>
        <v>3.1004582701013476E-2</v>
      </c>
      <c r="BT89" s="207">
        <f>INDEX($A$87:$H$100,MATCH($L89,$B$87:$B$100,0),MATCH($BQ$86,$A$87:$H$87,0))*고양시_Modal_split!F$3 * 0.01</f>
        <v>4.9966963685113115E-2</v>
      </c>
      <c r="BU89" s="207">
        <f>INDEX($A$87:$H$100,MATCH($L89,$B$87:$B$100,0),MATCH($BQ$86,$A$87:$H$87,0))*고양시_Modal_split!G$3 * 0.01</f>
        <v>5.0130432486700169E-3</v>
      </c>
      <c r="BV89" s="207">
        <f>INDEX($A$87:$H$100,MATCH($L89,$B$87:$B$100,0),MATCH($BQ$86,$A$87:$H$87,0))*고양시_Modal_split!H$3 * 0.01</f>
        <v>5.4489600529021929E-5</v>
      </c>
      <c r="BW89" s="207">
        <f>INDEX($A$87:$H$100,MATCH($L89,$B$87:$B$100,0),MATCH($BQ$86,$A$87:$H$87,0))*고양시_Modal_split!I$3 * 0.01</f>
        <v>1.5148108947068096E-2</v>
      </c>
      <c r="BX89" s="207">
        <f>INDEX($A$87:$H$100,MATCH($L89,$B$87:$B$100,0),MATCH($BQ$86,$A$87:$H$87,0))*고양시_Modal_split!J$3 * 0.01</f>
        <v>0.16586634401034278</v>
      </c>
      <c r="BY89" s="207">
        <f>INDEX($A$87:$H$100,MATCH($L89,$B$87:$B$100,0),MATCH($BQ$86,$A$87:$H$87,0))*고양시_Modal_split!K$3 * 0.01</f>
        <v>8.1734400793532895E-4</v>
      </c>
      <c r="BZ89" s="207">
        <f>INDEX($A$87:$H$100,MATCH($L89,$B$87:$B$100,0),MATCH($BQ$86,$A$87:$H$87,0))*고양시_Modal_split!L$3 * 0.01</f>
        <v>1.6455859359764624E-2</v>
      </c>
      <c r="CA89" s="207">
        <f>INDEX($A$87:$H$100,MATCH($L89,$B$87:$B$100,0),MATCH($BQ$86,$A$87:$H$87,0))*고양시_Modal_split!M$3 * 0.01</f>
        <v>1.2532608121675042E-3</v>
      </c>
      <c r="CB89" s="207">
        <f>INDEX($A$87:$H$100,MATCH($L89,$B$87:$B$100,0),MATCH($BQ$86,$A$87:$H$87,0))*고양시_Modal_split!N$3 * 0.01</f>
        <v>5.4489600529021933E-4</v>
      </c>
      <c r="CC89" s="207">
        <f>INDEX($A$87:$H$100,MATCH($L89,$B$87:$B$100,0),MATCH($BQ$86,$A$87:$H$87,0))*고양시_Modal_split!O$3 * 0.01</f>
        <v>9.8081280952239482E-4</v>
      </c>
      <c r="CD89" s="207">
        <f>INDEX($A$87:$H$100,MATCH($L89,$B$87:$B$100,0),MATCH($BQ$86,$A$87:$H$87,0))*고양시_Modal_split!P$3 * 0.01</f>
        <v>0.54489600529021931</v>
      </c>
      <c r="CE89" s="304">
        <f t="shared" ref="CE89:CE100" si="69">M89+AA89+AO89+BC89+BQ89</f>
        <v>5.3576611245805115</v>
      </c>
      <c r="CF89" s="304">
        <f t="shared" si="51"/>
        <v>899.89572388936244</v>
      </c>
      <c r="CG89" s="304">
        <f t="shared" si="52"/>
        <v>108.87532785308252</v>
      </c>
      <c r="CH89" s="304">
        <f t="shared" si="53"/>
        <v>175.46340183001175</v>
      </c>
      <c r="CI89" s="304">
        <f t="shared" si="54"/>
        <v>17.603743695050255</v>
      </c>
      <c r="CJ89" s="304">
        <f t="shared" si="55"/>
        <v>0.19134504016358975</v>
      </c>
      <c r="CK89" s="304">
        <f t="shared" si="56"/>
        <v>53.193921165477938</v>
      </c>
      <c r="CL89" s="304">
        <f t="shared" si="57"/>
        <v>582.45430225796713</v>
      </c>
      <c r="CM89" s="304">
        <f t="shared" si="58"/>
        <v>2.8701756024538456</v>
      </c>
      <c r="CN89" s="304">
        <f t="shared" si="59"/>
        <v>57.786202129404096</v>
      </c>
      <c r="CO89" s="304">
        <f t="shared" si="60"/>
        <v>4.4009359237625638</v>
      </c>
      <c r="CP89" s="304">
        <f t="shared" si="61"/>
        <v>1.9134504016358975</v>
      </c>
      <c r="CQ89" s="304">
        <f t="shared" si="62"/>
        <v>3.4442107229446144</v>
      </c>
      <c r="CR89" s="304">
        <f t="shared" si="63"/>
        <v>1913.4504016358972</v>
      </c>
      <c r="CS89" s="305">
        <f t="shared" ref="CS89:CS100" si="70">H89-CR89</f>
        <v>0</v>
      </c>
      <c r="CV89" s="265" t="s">
        <v>605</v>
      </c>
      <c r="CW89" s="265" t="s">
        <v>607</v>
      </c>
      <c r="CX89" s="267">
        <f>INDEX($M$86:$Z$100,MATCH($CW89,$L$86:$L$100,0),MATCH(CX$87,$M$87:$Z$87,0))/INDEX(고양시_재차인원!$D$4:$H$35,MATCH("고양시",고양시_재차인원!$B$4:$B$35,0),MATCH($CX$86,고양시_재차인원!$D$4:$H$4,0))</f>
        <v>92.828617968133742</v>
      </c>
      <c r="CY89" s="267">
        <f>INDEX($M$86:$Z$100,MATCH($CW89,$L$86:$L$100,0),MATCH(CY$87,$M$87:$Z$87,0))/INDEX(고양시_재차인원!$K$4:$O$20,MATCH("경기도",고양시_재차인원!$K$4:$K$20,0),MATCH($CY$87,고양시_재차인원!$K$4:$O$4,0))</f>
        <v>7.6786215566815254E-4</v>
      </c>
      <c r="CZ89" s="267">
        <f>INDEX($M$86:$Z$100,MATCH($CW89,$L$86:$L$100,0),MATCH(CZ$87,$M$87:$Z$87,0))/INDEX(고양시_재차인원!$K$4:$O$20,MATCH("경기도",고양시_재차인원!$K$4:$K$20,0),MATCH($CZ$87,고양시_재차인원!$K$4:$O$4,0))</f>
        <v>0.21346567927574642</v>
      </c>
      <c r="DA89" s="267">
        <f>INDEX($M$86:$Z$100,MATCH($CW89,$L$86:$L$100,0),MATCH(DA$87,$M$87:$Z$87,0))/INDEX(고양시_재차인원!$D$4:$H$35,MATCH("고양시",고양시_재차인원!$B$4:$B$35,0),MATCH($CX$86,고양시_재차인원!$D$4:$H$4,0))</f>
        <v>5.9609276262760771</v>
      </c>
      <c r="DB89" s="267">
        <f>INDEX($AA$86:$AN$100,MATCH($CW89,$L$86:$L$100,0),MATCH(DB$87,$AA$87:$AN$87,0))/INDEX(고양시_재차인원!$D$4:$H$35,MATCH("고양시",고양시_재차인원!$B$4:$B$35,0),MATCH($DB$86,고양시_재차인원!$D$4:$H$4,0))</f>
        <v>533.64401644305565</v>
      </c>
      <c r="DC89" s="267">
        <f>INDEX($AA$86:$AN$100,MATCH($CW89,$L$86:$L$100,0),MATCH(DC$87,$AA$87:$AN$87,0))/INDEX(고양시_재차인원!$K$4:$O$20,MATCH("경기도",고양시_재차인원!$K$4:$K$20,0),MATCH(DC$87,고양시_재차인원!$K$4:$O$4,0))</f>
        <v>5.5571755111172858E-3</v>
      </c>
      <c r="DD89" s="267">
        <f>INDEX($AA$86:$AN$100,MATCH($CW89,$L$86:$L$100,0),MATCH(DD$87,$AA$87:$AN$87,0))/INDEX(고양시_재차인원!$K$4:$O$20,MATCH("경기도",고양시_재차인원!$K$4:$K$20,0),MATCH(DD$87,고양시_재차인원!$K$4:$O$4,0))</f>
        <v>1.5448947920906053</v>
      </c>
      <c r="DE89" s="267">
        <f>INDEX($AA$86:$AN$100,MATCH($CW89,$L$86:$L$100,0),MATCH(DE$87,$AA$87:$AN$87,0))/INDEX(고양시_재차인원!$D$4:$H$35,MATCH("고양시",고양시_재차인원!$B$4:$B$35,0),MATCH($DB$86,고양시_재차인원!$D$4:$H$4,0))</f>
        <v>34.267593656347607</v>
      </c>
      <c r="DF89" s="267">
        <f>INDEX($AO$86:$BB$100,MATCH($CW89,$L$86:$L$100,0),MATCH(DF$87,$AO$87:$BB$87,0))/INDEX(고양시_재차인원!$D$4:$H$35,MATCH("고양시",고양시_재차인원!$B$4:$B$35,0),MATCH($DF$86,고양시_재차인원!$D$4:$H$4,0))</f>
        <v>33.204237880233507</v>
      </c>
      <c r="DG89" s="267">
        <f>INDEX($AO$86:$BB$100,MATCH($CW89,$L$86:$L$100,0),MATCH(DG$87,$AO$87:$BB$87,0))/INDEX(고양시_재차인원!$K$4:$O$20,MATCH("경기도",고양시_재차인원!$K$4:$K$20,0),MATCH(DG$87,고양시_재차인원!$K$4:$O$4,0))</f>
        <v>3.1880140390833106E-4</v>
      </c>
      <c r="DH89" s="267">
        <f>INDEX($AO$86:$BB$100,MATCH($CW89,$L$86:$L$100,0),MATCH(DH$87,$AO$87:$BB$87,0))/INDEX(고양시_재차인원!$K$4:$O$20,MATCH("경기도",고양시_재차인원!$K$4:$K$20,0),MATCH(DH$87,고양시_재차인원!$K$4:$O$4,0))</f>
        <v>8.8626790286516016E-2</v>
      </c>
      <c r="DI89" s="267">
        <f>INDEX($AO$86:$BB$100,MATCH($CW89,$L$86:$L$100,0),MATCH(DI$87,$AO$87:$BB$87,0))/INDEX(고양시_재차인원!$D$4:$H$35,MATCH("고양시",고양시_재차인원!$B$4:$B$35,0),MATCH($DF$86,고양시_재차인원!$D$4:$H$4,0))</f>
        <v>2.1321879310717669</v>
      </c>
      <c r="DJ89" s="267">
        <f>INDEX($BC$86:$BP$100,MATCH($CW89,$L$86:$L$100,0),MATCH(DJ$87,$BC$87:$BP$87,0))/INDEX(고양시_재차인원!$D$4:$H$35,MATCH("고양시",고양시_재차인원!$B$4:$B$35,0),MATCH($DJ$86,고양시_재차인원!$D$4:$H$4,0))</f>
        <v>4.9878488788752243E-2</v>
      </c>
      <c r="DK89" s="267">
        <f>INDEX($BC$86:$BP$100,MATCH($CW89,$L$86:$L$100,0),MATCH(DK$87,$BC$87:$BP$87,0))/INDEX(고양시_재차인원!$K$4:$O$20,MATCH("경기도",고양시_재차인원!$K$4:$K$20,0),MATCH(DK$87,고양시_재차인원!$K$4:$O$4,0))</f>
        <v>5.0099749173650558E-7</v>
      </c>
      <c r="DL89" s="267">
        <f>INDEX($BC$86:$BP$100,MATCH($CW89,$L$86:$L$100,0),MATCH(DL$87,$BC$87:$BP$87,0))/INDEX(고양시_재차인원!$K$4:$O$20,MATCH("경기도",고양시_재차인원!$K$4:$K$20,0),MATCH(DL$87,고양시_재차인원!$K$4:$O$4,0))</f>
        <v>1.3927730270274854E-4</v>
      </c>
      <c r="DM89" s="267">
        <f>INDEX($BC$86:$BP$100,MATCH($CW89,$L$86:$L$100,0),MATCH(DM$87,$BC$87:$BP$87,0))/INDEX(고양시_재차인원!$D$4:$H$35,MATCH("고양시",고양시_재차인원!$B$4:$B$35,0),MATCH($DJ$86,고양시_재차인원!$D$4:$H$4,0))</f>
        <v>3.202913802722343E-3</v>
      </c>
      <c r="DN89" s="267">
        <f>INDEX($BQ$86:$CD$100,MATCH($CW89,$L$86:$L$100,0),MATCH(DN$87,$BQ$87:$CD$87,0))/INDEX(고양시_재차인원!$D$4:$H$35,MATCH("고양시",고양시_재차인원!$B$4:$B$35,0),MATCH($DN$86,고양시_재차인원!$D$4:$H$4,0))</f>
        <v>0.20338459626030966</v>
      </c>
      <c r="DO89" s="267">
        <f>INDEX($BQ$86:$CD$100,MATCH($CW89,$L$86:$L$100,0),MATCH(DO$87,$BQ$87:$CD$87,0))/INDEX(고양시_재차인원!$K$4:$O$20,MATCH("경기도",고양시_재차인원!$K$4:$K$20,0),MATCH(DO$87,고양시_재차인원!$K$4:$O$4,0))</f>
        <v>1.8926571910045826E-6</v>
      </c>
      <c r="DP89" s="267">
        <f>INDEX($BQ$86:$CD$100,MATCH($CW89,$L$86:$L$100,0),MATCH(DP$87,$BQ$87:$CD$87,0))/INDEX(고양시_재차인원!$K$4:$O$20,MATCH("경기도",고양시_재차인원!$K$4:$K$20,0),MATCH(DP$87,고양시_재차인원!$K$4:$O$4,0))</f>
        <v>5.261586990992739E-4</v>
      </c>
      <c r="DQ89" s="267">
        <f>INDEX($BQ$86:$CD$100,MATCH($CW89,$L$86:$L$100,0),MATCH(DQ$87,$BQ$87:$CD$87,0))/INDEX(고양시_재차인원!$D$4:$H$35,MATCH("고양시",고양시_재차인원!$B$4:$B$35,0),MATCH($DN$86,고양시_재차인원!$D$4:$H$4,0))</f>
        <v>1.3060205841083035E-2</v>
      </c>
      <c r="DR89" s="270">
        <f t="shared" ref="DR89:DR100" si="71">CX89+DB89+DF89+DJ89+DN89</f>
        <v>659.93013537647187</v>
      </c>
      <c r="DS89" s="270">
        <f t="shared" si="64"/>
        <v>6.6462327253765099E-3</v>
      </c>
      <c r="DT89" s="270">
        <f t="shared" si="65"/>
        <v>1.8476526976546697</v>
      </c>
      <c r="DU89" s="270">
        <f t="shared" si="66"/>
        <v>42.376972333339261</v>
      </c>
      <c r="DW89" s="278" t="s">
        <v>605</v>
      </c>
      <c r="DX89" s="278" t="s">
        <v>607</v>
      </c>
      <c r="DY89" s="281">
        <f t="shared" ref="DY89:DY100" si="72">DR89+DU89</f>
        <v>702.30710770981113</v>
      </c>
      <c r="DZ89" s="281">
        <f t="shared" ref="DZ89:DZ100" si="73">DS89+DT89</f>
        <v>1.8542989303800461</v>
      </c>
      <c r="EB89" s="278" t="s">
        <v>622</v>
      </c>
      <c r="EC89" s="278" t="s">
        <v>607</v>
      </c>
      <c r="ED89" s="309">
        <f t="shared" ref="ED89:ED91" si="74">DY89+DY$94*($EN91/SUM($EN$90:$EN$93))</f>
        <v>824.71248538288626</v>
      </c>
      <c r="EE89" s="309">
        <f t="shared" si="67"/>
        <v>2.1774854087742446</v>
      </c>
      <c r="EK89" s="420" t="s">
        <v>12</v>
      </c>
      <c r="EL89" s="420" t="s">
        <v>12</v>
      </c>
      <c r="EM89" s="420" t="s">
        <v>610</v>
      </c>
      <c r="EN89" s="420">
        <v>15857.7047</v>
      </c>
      <c r="EO89" s="420">
        <v>0.5264012731380332</v>
      </c>
      <c r="EP89" s="421">
        <v>849002</v>
      </c>
      <c r="EQ89" s="422">
        <f t="shared" ref="EQ89:EQ107" si="75">VLOOKUP($EL89,$EC$88:$EE$99,2,FALSE)*$EO89 * $CW$9*(1-$DA$5)</f>
        <v>37.211565500061305</v>
      </c>
      <c r="ER89" s="422">
        <f t="shared" ref="ER89:ER107" si="76">VLOOKUP($EL89,$EC$88:$EE$99,3,FALSE)*$EO89* $CW$9*(1-$DA$5)</f>
        <v>9.8249562544711719E-2</v>
      </c>
      <c r="ES89">
        <v>0</v>
      </c>
      <c r="EU89" s="306" t="s">
        <v>12</v>
      </c>
      <c r="EV89" s="306" t="s">
        <v>12</v>
      </c>
      <c r="EW89" s="306" t="s">
        <v>610</v>
      </c>
      <c r="EX89" s="306">
        <v>15857.7047</v>
      </c>
      <c r="EY89" s="306">
        <v>0.5264012731380332</v>
      </c>
      <c r="EZ89" s="307">
        <v>849002</v>
      </c>
      <c r="FA89" s="308">
        <f t="shared" ref="FA89:FA107" si="77">EQ89*$EG$55</f>
        <v>37.211565500061305</v>
      </c>
      <c r="FB89" s="308">
        <f t="shared" si="68"/>
        <v>9.8249562544711719E-2</v>
      </c>
      <c r="FD89" s="101"/>
      <c r="FE89" s="101"/>
      <c r="FF89" s="101"/>
      <c r="FG89" s="101"/>
      <c r="FH89" s="101"/>
      <c r="FI89" s="374"/>
      <c r="FJ89" s="404"/>
      <c r="FK89" s="404"/>
    </row>
    <row r="90" spans="1:167">
      <c r="A90" s="205" t="s">
        <v>605</v>
      </c>
      <c r="B90" s="205" t="s">
        <v>608</v>
      </c>
      <c r="C90" s="201">
        <f>$K31*KTDB_TripDistribution_2035!T$12</f>
        <v>181.15675179120035</v>
      </c>
      <c r="D90" s="201">
        <f>$K31*KTDB_TripDistribution_2035!U$12</f>
        <v>1311.0684740695642</v>
      </c>
      <c r="E90" s="201">
        <f>$K31*KTDB_TripDistribution_2035!V$12</f>
        <v>75.212753190387588</v>
      </c>
      <c r="F90" s="201">
        <f>$K31*KTDB_TripDistribution_2035!W$12</f>
        <v>0.11819709773240537</v>
      </c>
      <c r="G90" s="201">
        <f>$K31*KTDB_TripDistribution_2035!X$12</f>
        <v>0.44652236921131055</v>
      </c>
      <c r="H90" s="201">
        <f>$K31*KTDB_TripDistribution_2035!Y$12</f>
        <v>1568.0026985180962</v>
      </c>
      <c r="J90" s="230">
        <f t="shared" si="50"/>
        <v>1568.0026985180959</v>
      </c>
      <c r="K90" s="206" t="s">
        <v>605</v>
      </c>
      <c r="L90" s="206" t="s">
        <v>608</v>
      </c>
      <c r="M90" s="206">
        <f>INDEX($A$87:$H$100,MATCH($L90,$B$87:$B$100,0),MATCH($M$86,$A$87:$H$87,0))*고양시_Modal_split!C$3 * 0.01</f>
        <v>0.50723890501536095</v>
      </c>
      <c r="N90" s="206">
        <f>INDEX($A$87:$H$100,MATCH($L90,$B$87:$B$100,0),MATCH($M$86,$A$87:$H$87,0))*고양시_Modal_split!D$3 * 0.01</f>
        <v>85.19802036740154</v>
      </c>
      <c r="O90" s="206">
        <f>INDEX($A$87:$H$100,MATCH($L90,$B$87:$B$100,0),MATCH($M$86,$A$87:$H$87,0))*고양시_Modal_split!E$3 * 0.01</f>
        <v>10.307819176919299</v>
      </c>
      <c r="P90" s="206">
        <f>INDEX($A$87:$H$100,MATCH($L90,$B$87:$B$100,0),MATCH($M$86,$A$87:$H$87,0))*고양시_Modal_split!F$3 * 0.01</f>
        <v>16.612074139253075</v>
      </c>
      <c r="Q90" s="206">
        <f>INDEX($A$87:$H$100,MATCH($L90,$B$87:$B$100,0),MATCH($M$86,$A$87:$H$87,0))*고양시_Modal_split!G$3 * 0.01</f>
        <v>1.666642116479043</v>
      </c>
      <c r="R90" s="206">
        <f>INDEX($A$87:$H$100,MATCH($L90,$B$87:$B$100,0),MATCH($M$86,$A$87:$H$87,0))*고양시_Modal_split!H$3 * 0.01</f>
        <v>1.8115675179120036E-2</v>
      </c>
      <c r="S90" s="206">
        <f>INDEX($A$87:$H$100,MATCH($L90,$B$87:$B$100,0),MATCH($M$86,$A$87:$H$87,0))*고양시_Modal_split!I$3 * 0.01</f>
        <v>5.0361576997953694</v>
      </c>
      <c r="T90" s="206">
        <f>INDEX($A$87:$H$100,MATCH($L90,$B$87:$B$100,0),MATCH($M$86,$A$87:$H$87,0))*고양시_Modal_split!J$3 * 0.01</f>
        <v>55.144115245241395</v>
      </c>
      <c r="U90" s="206">
        <f>INDEX($A$87:$H$100,MATCH($L90,$B$87:$B$100,0),MATCH($M$86,$A$87:$H$87,0))*고양시_Modal_split!K$3 * 0.01</f>
        <v>0.27173512768680053</v>
      </c>
      <c r="V90" s="206">
        <f>INDEX($A$87:$H$100,MATCH($L90,$B$87:$B$100,0),MATCH($M$86,$A$87:$H$87,0))*고양시_Modal_split!L$3 * 0.01</f>
        <v>5.4709339040942506</v>
      </c>
      <c r="W90" s="206">
        <f>INDEX($A$87:$H$100,MATCH($L90,$B$87:$B$100,0),MATCH($M$86,$A$87:$H$87,0))*고양시_Modal_split!M$3 * 0.01</f>
        <v>0.41666052911976076</v>
      </c>
      <c r="X90" s="206">
        <f>INDEX($A$87:$H$100,MATCH($L90,$B$87:$B$100,0),MATCH($M$86,$A$87:$H$87,0))*고양시_Modal_split!N$3 * 0.01</f>
        <v>0.18115675179120036</v>
      </c>
      <c r="Y90" s="206">
        <f>INDEX($A$87:$H$100,MATCH($L90,$B$87:$B$100,0),MATCH($M$86,$A$87:$H$87,0))*고양시_Modal_split!O$3 * 0.01</f>
        <v>0.32608215322416068</v>
      </c>
      <c r="Z90" s="209">
        <f>INDEX($A$87:$H$100,MATCH($L90,$B$87:$B$100,0),MATCH($M$86,$A$87:$H$87,0))*고양시_Modal_split!P$3 * 0.01</f>
        <v>181.15675179120038</v>
      </c>
      <c r="AA90" s="207">
        <f>INDEX($A$87:$H$100,MATCH($L90,$B$87:$B$100,0),MATCH($AA$86,$A$87:$H$87,0))*고양시_Modal_split!C$3 * 0.01</f>
        <v>3.6709917273947794</v>
      </c>
      <c r="AB90" s="207">
        <f>INDEX($A$87:$H$100,MATCH($L90,$B$87:$B$100,0),MATCH($AA$86,$A$87:$H$87,0))*고양시_Modal_split!D$3 * 0.01</f>
        <v>616.5955033549161</v>
      </c>
      <c r="AC90" s="207">
        <f>INDEX($A$87:$H$100,MATCH($L90,$B$87:$B$100,0),MATCH($AA$86,$A$87:$H$87,0))*고양시_Modal_split!E$3 * 0.01</f>
        <v>74.599796174558193</v>
      </c>
      <c r="AD90" s="207">
        <f>INDEX($A$87:$H$100,MATCH($L90,$B$87:$B$100,0),MATCH($AA$86,$A$87:$H$87,0))*고양시_Modal_split!F$3 * 0.01</f>
        <v>120.22497907217904</v>
      </c>
      <c r="AE90" s="207">
        <f>INDEX($A$87:$H$100,MATCH($L90,$B$87:$B$100,0),MATCH($AA$86,$A$87:$H$87,0))*고양시_Modal_split!G$3 * 0.01</f>
        <v>12.06182996143999</v>
      </c>
      <c r="AF90" s="207">
        <f>INDEX($A$87:$H$100,MATCH($L90,$B$87:$B$100,0),MATCH($AA$86,$A$87:$H$87,0))*고양시_Modal_split!H$3 * 0.01</f>
        <v>0.13110684740695644</v>
      </c>
      <c r="AG90" s="207">
        <f>INDEX($A$87:$H$100,MATCH($L90,$B$87:$B$100,0),MATCH($AA$86,$A$87:$H$87,0))*고양시_Modal_split!I$3 * 0.01</f>
        <v>36.447703579133879</v>
      </c>
      <c r="AH90" s="207">
        <f>INDEX($A$87:$H$100,MATCH($L90,$B$87:$B$100,0),MATCH($AA$86,$A$87:$H$87,0))*고양시_Modal_split!J$3 * 0.01</f>
        <v>399.0892435067754</v>
      </c>
      <c r="AI90" s="207">
        <f>INDEX($A$87:$H$100,MATCH($L90,$B$87:$B$100,0),MATCH($AA$86,$A$87:$H$87,0))*고양시_Modal_split!K$3 * 0.01</f>
        <v>1.9666027111043463</v>
      </c>
      <c r="AJ90" s="207">
        <f>INDEX($A$87:$H$100,MATCH($L90,$B$87:$B$100,0),MATCH($AA$86,$A$87:$H$87,0))*고양시_Modal_split!L$3 * 0.01</f>
        <v>39.59426791690084</v>
      </c>
      <c r="AK90" s="207">
        <f>INDEX($A$87:$H$100,MATCH($L90,$B$87:$B$100,0),MATCH($AA$86,$A$87:$H$87,0))*고양시_Modal_split!M$3 * 0.01</f>
        <v>3.0154574903599975</v>
      </c>
      <c r="AL90" s="207">
        <f>INDEX($A$87:$H$100,MATCH($L90,$B$87:$B$100,0),MATCH($AA$86,$A$87:$H$87,0))*고양시_Modal_split!N$3 * 0.01</f>
        <v>1.3110684740695644</v>
      </c>
      <c r="AM90" s="207">
        <f>INDEX($A$87:$H$100,MATCH($L90,$B$87:$B$100,0),MATCH($AA$86,$A$87:$H$87,0))*고양시_Modal_split!O$3 * 0.01</f>
        <v>2.3599232533252157</v>
      </c>
      <c r="AN90" s="207">
        <f>INDEX($A$87:$H$100,MATCH($L90,$B$87:$B$100,0),MATCH($AA$86,$A$87:$H$87,0))*고양시_Modal_split!P$3 * 0.01</f>
        <v>1311.0684740695642</v>
      </c>
      <c r="AO90" s="303">
        <f>INDEX($A$87:$H$100,MATCH($L90,$B$87:$B$100,0),MATCH($AO$86,$A$87:$H$87,0))*고양시_Modal_split!C$3 * 0.01</f>
        <v>0.21059570893308521</v>
      </c>
      <c r="AP90" s="303">
        <f>INDEX($A$87:$H$100,MATCH($L90,$B$87:$B$100,0),MATCH($AO$86,$A$87:$H$87,0))*고양시_Modal_split!D$3 * 0.01</f>
        <v>35.372557825439287</v>
      </c>
      <c r="AQ90" s="303">
        <f>INDEX($A$87:$H$100,MATCH($L90,$B$87:$B$100,0),MATCH($AO$86,$A$87:$H$87,0))*고양시_Modal_split!E$3 * 0.01</f>
        <v>4.2796056565330529</v>
      </c>
      <c r="AR90" s="303">
        <f>INDEX($A$87:$H$100,MATCH($L90,$B$87:$B$100,0),MATCH($AO$86,$A$87:$H$87,0))*고양시_Modal_split!F$3 * 0.01</f>
        <v>6.8970094675585418</v>
      </c>
      <c r="AS90" s="303">
        <f>INDEX($A$87:$H$100,MATCH($L90,$B$87:$B$100,0),MATCH($AO$86,$A$87:$H$87,0))*고양시_Modal_split!G$3 * 0.01</f>
        <v>0.69195732935156573</v>
      </c>
      <c r="AT90" s="303">
        <f>INDEX($A$87:$H$100,MATCH($L90,$B$87:$B$100,0),MATCH($AO$86,$A$87:$H$87,0))*고양시_Modal_split!H$3 * 0.01</f>
        <v>7.5212753190387598E-3</v>
      </c>
      <c r="AU90" s="303">
        <f>INDEX($A$87:$H$100,MATCH($L90,$B$87:$B$100,0),MATCH($AO$86,$A$87:$H$87,0))*고양시_Modal_split!I$3 * 0.01</f>
        <v>2.0909145386927745</v>
      </c>
      <c r="AV90" s="303">
        <f>INDEX($A$87:$H$100,MATCH($L90,$B$87:$B$100,0),MATCH($AO$86,$A$87:$H$87,0))*고양시_Modal_split!J$3 * 0.01</f>
        <v>22.894762071153984</v>
      </c>
      <c r="AW90" s="303">
        <f>INDEX($A$87:$H$100,MATCH($L90,$B$87:$B$100,0),MATCH($AO$86,$A$87:$H$87,0))*고양시_Modal_split!K$3 * 0.01</f>
        <v>0.11281912978558138</v>
      </c>
      <c r="AX90" s="303">
        <f>INDEX($A$87:$H$100,MATCH($L90,$B$87:$B$100,0),MATCH($AO$86,$A$87:$H$87,0))*고양시_Modal_split!L$3 * 0.01</f>
        <v>2.2714251463497055</v>
      </c>
      <c r="AY90" s="303">
        <f>INDEX($A$87:$H$100,MATCH($L90,$B$87:$B$100,0),MATCH($AO$86,$A$87:$H$87,0))*고양시_Modal_split!M$3 * 0.01</f>
        <v>0.17298933233789143</v>
      </c>
      <c r="AZ90" s="303">
        <f>INDEX($A$87:$H$100,MATCH($L90,$B$87:$B$100,0),MATCH($AO$86,$A$87:$H$87,0))*고양시_Modal_split!N$3 * 0.01</f>
        <v>7.5212753190387588E-2</v>
      </c>
      <c r="BA90" s="207">
        <f>INDEX($A$87:$H$100,MATCH($L90,$B$87:$B$100,0),MATCH($AO$86,$A$87:$H$87,0))*고양시_Modal_split!O$3 * 0.01</f>
        <v>0.13538295574269765</v>
      </c>
      <c r="BB90" s="207">
        <f>INDEX($A$87:$H$100,MATCH($L90,$B$87:$B$100,0),MATCH($AO$86,$A$87:$H$87,0))*고양시_Modal_split!P$3 * 0.01</f>
        <v>75.212753190387588</v>
      </c>
      <c r="BC90" s="207">
        <f>INDEX($A$87:$H$100,MATCH($L90,$B$87:$B$100,0),MATCH($BC$86,$A$87:$H$87,0))*고양시_Modal_split!C$3 * 0.01</f>
        <v>3.3095187365073504E-4</v>
      </c>
      <c r="BD90" s="207">
        <f>INDEX($A$87:$H$100,MATCH($L90,$B$87:$B$100,0),MATCH($BC$86,$A$87:$H$87,0))*고양시_Modal_split!D$3 * 0.01</f>
        <v>5.5588095063550245E-2</v>
      </c>
      <c r="BE90" s="207">
        <f>INDEX($A$87:$H$100,MATCH($L90,$B$87:$B$100,0),MATCH($BC$86,$A$87:$H$87,0))*고양시_Modal_split!E$3 * 0.01</f>
        <v>6.725414860973865E-3</v>
      </c>
      <c r="BF90" s="207">
        <f>INDEX($A$87:$H$100,MATCH($L90,$B$87:$B$100,0),MATCH($BC$86,$A$87:$H$87,0))*고양시_Modal_split!F$3 * 0.01</f>
        <v>1.0838673862061571E-2</v>
      </c>
      <c r="BG90" s="207">
        <f>INDEX($A$87:$H$100,MATCH($L90,$B$87:$B$100,0),MATCH($BC$86,$A$87:$H$87,0))*고양시_Modal_split!G$3 * 0.01</f>
        <v>1.0874132991381294E-3</v>
      </c>
      <c r="BH90" s="207">
        <f>INDEX($A$87:$H$100,MATCH($L90,$B$87:$B$100,0),MATCH($BC$86,$A$87:$H$87,0))*고양시_Modal_split!H$3 * 0.01</f>
        <v>1.1819709773240537E-5</v>
      </c>
      <c r="BI90" s="207">
        <f>INDEX($A$87:$H$100,MATCH($L90,$B$87:$B$100,0),MATCH($BC$86,$A$87:$H$87,0))*고양시_Modal_split!I$3 * 0.01</f>
        <v>3.2858793169608692E-3</v>
      </c>
      <c r="BJ90" s="207">
        <f>INDEX($A$87:$H$100,MATCH($L90,$B$87:$B$100,0),MATCH($BC$86,$A$87:$H$87,0))*고양시_Modal_split!J$3 * 0.01</f>
        <v>3.59791965497442E-2</v>
      </c>
      <c r="BK90" s="207">
        <f>INDEX($A$87:$H$100,MATCH($L90,$B$87:$B$100,0),MATCH($BC$86,$A$87:$H$87,0))*고양시_Modal_split!K$3 * 0.01</f>
        <v>1.7729564659860805E-4</v>
      </c>
      <c r="BL90" s="207">
        <f>INDEX($A$87:$H$100,MATCH($L90,$B$87:$B$100,0),MATCH($BC$86,$A$87:$H$87,0))*고양시_Modal_split!L$3 * 0.01</f>
        <v>3.5695523515186425E-3</v>
      </c>
      <c r="BM90" s="207">
        <f>INDEX($A$87:$H$100,MATCH($L90,$B$87:$B$100,0),MATCH($BC$86,$A$87:$H$87,0))*고양시_Modal_split!M$3 * 0.01</f>
        <v>2.7185332478453234E-4</v>
      </c>
      <c r="BN90" s="207">
        <f>INDEX($A$87:$H$100,MATCH($L90,$B$87:$B$100,0),MATCH($BC$86,$A$87:$H$87,0))*고양시_Modal_split!N$3 * 0.01</f>
        <v>1.1819709773240539E-4</v>
      </c>
      <c r="BO90" s="207">
        <f>INDEX($A$87:$H$100,MATCH($L90,$B$87:$B$100,0),MATCH($BC$86,$A$87:$H$87,0))*고양시_Modal_split!O$3 * 0.01</f>
        <v>2.1275477591832967E-4</v>
      </c>
      <c r="BP90" s="207">
        <f>INDEX($A$87:$H$100,MATCH($L90,$B$87:$B$100,0),MATCH($BC$86,$A$87:$H$87,0))*고양시_Modal_split!P$3 * 0.01</f>
        <v>0.11819709773240539</v>
      </c>
      <c r="BQ90" s="207">
        <f>INDEX($A$87:$H$100,MATCH($L90,$B$87:$B$100,0),MATCH($BQ$86,$A$87:$H$87,0))*고양시_Modal_split!C$3 * 0.01</f>
        <v>1.2502626337916696E-3</v>
      </c>
      <c r="BR90" s="207">
        <f>INDEX($A$87:$H$100,MATCH($L90,$B$87:$B$100,0),MATCH($BQ$86,$A$87:$H$87,0))*고양시_Modal_split!D$3 * 0.01</f>
        <v>0.20999947024007937</v>
      </c>
      <c r="BS90" s="207">
        <f>INDEX($A$87:$H$100,MATCH($L90,$B$87:$B$100,0),MATCH($BQ$86,$A$87:$H$87,0))*고양시_Modal_split!E$3 * 0.01</f>
        <v>2.5407122808123572E-2</v>
      </c>
      <c r="BT90" s="207">
        <f>INDEX($A$87:$H$100,MATCH($L90,$B$87:$B$100,0),MATCH($BQ$86,$A$87:$H$87,0))*고양시_Modal_split!F$3 * 0.01</f>
        <v>4.0946101256677178E-2</v>
      </c>
      <c r="BU90" s="207">
        <f>INDEX($A$87:$H$100,MATCH($L90,$B$87:$B$100,0),MATCH($BQ$86,$A$87:$H$87,0))*고양시_Modal_split!G$3 * 0.01</f>
        <v>4.1080057967440567E-3</v>
      </c>
      <c r="BV90" s="207">
        <f>INDEX($A$87:$H$100,MATCH($L90,$B$87:$B$100,0),MATCH($BQ$86,$A$87:$H$87,0))*고양시_Modal_split!H$3 * 0.01</f>
        <v>4.4652236921131055E-5</v>
      </c>
      <c r="BW90" s="207">
        <f>INDEX($A$87:$H$100,MATCH($L90,$B$87:$B$100,0),MATCH($BQ$86,$A$87:$H$87,0))*고양시_Modal_split!I$3 * 0.01</f>
        <v>1.2413321864074433E-2</v>
      </c>
      <c r="BX90" s="207">
        <f>INDEX($A$87:$H$100,MATCH($L90,$B$87:$B$100,0),MATCH($BQ$86,$A$87:$H$87,0))*고양시_Modal_split!J$3 * 0.01</f>
        <v>0.13592140918792295</v>
      </c>
      <c r="BY90" s="207">
        <f>INDEX($A$87:$H$100,MATCH($L90,$B$87:$B$100,0),MATCH($BQ$86,$A$87:$H$87,0))*고양시_Modal_split!K$3 * 0.01</f>
        <v>6.6978355381696578E-4</v>
      </c>
      <c r="BZ90" s="207">
        <f>INDEX($A$87:$H$100,MATCH($L90,$B$87:$B$100,0),MATCH($BQ$86,$A$87:$H$87,0))*고양시_Modal_split!L$3 * 0.01</f>
        <v>1.3484975550181579E-2</v>
      </c>
      <c r="CA90" s="207">
        <f>INDEX($A$87:$H$100,MATCH($L90,$B$87:$B$100,0),MATCH($BQ$86,$A$87:$H$87,0))*고양시_Modal_split!M$3 * 0.01</f>
        <v>1.0270014491860142E-3</v>
      </c>
      <c r="CB90" s="207">
        <f>INDEX($A$87:$H$100,MATCH($L90,$B$87:$B$100,0),MATCH($BQ$86,$A$87:$H$87,0))*고양시_Modal_split!N$3 * 0.01</f>
        <v>4.4652236921131059E-4</v>
      </c>
      <c r="CC90" s="207">
        <f>INDEX($A$87:$H$100,MATCH($L90,$B$87:$B$100,0),MATCH($BQ$86,$A$87:$H$87,0))*고양시_Modal_split!O$3 * 0.01</f>
        <v>8.0374026458035909E-4</v>
      </c>
      <c r="CD90" s="207">
        <f>INDEX($A$87:$H$100,MATCH($L90,$B$87:$B$100,0),MATCH($BQ$86,$A$87:$H$87,0))*고양시_Modal_split!P$3 * 0.01</f>
        <v>0.44652236921131055</v>
      </c>
      <c r="CE90" s="304">
        <f t="shared" si="69"/>
        <v>4.3904075558506683</v>
      </c>
      <c r="CF90" s="304">
        <f t="shared" si="51"/>
        <v>737.43166911306048</v>
      </c>
      <c r="CG90" s="304">
        <f t="shared" si="52"/>
        <v>89.219353545679638</v>
      </c>
      <c r="CH90" s="304">
        <f t="shared" si="53"/>
        <v>143.78584745410939</v>
      </c>
      <c r="CI90" s="304">
        <f t="shared" si="54"/>
        <v>14.425624826366482</v>
      </c>
      <c r="CJ90" s="304">
        <f t="shared" si="55"/>
        <v>0.15680026985180961</v>
      </c>
      <c r="CK90" s="304">
        <f t="shared" si="56"/>
        <v>43.590475018803055</v>
      </c>
      <c r="CL90" s="304">
        <f t="shared" si="57"/>
        <v>477.30002142890845</v>
      </c>
      <c r="CM90" s="304">
        <f t="shared" si="58"/>
        <v>2.3520040477771436</v>
      </c>
      <c r="CN90" s="304">
        <f t="shared" si="59"/>
        <v>47.353681495246505</v>
      </c>
      <c r="CO90" s="304">
        <f t="shared" si="60"/>
        <v>3.6064062065916205</v>
      </c>
      <c r="CP90" s="304">
        <f t="shared" si="61"/>
        <v>1.5680026985180961</v>
      </c>
      <c r="CQ90" s="304">
        <f t="shared" si="62"/>
        <v>2.8224048573325726</v>
      </c>
      <c r="CR90" s="304">
        <f t="shared" si="63"/>
        <v>1568.0026985180959</v>
      </c>
      <c r="CS90" s="305">
        <f t="shared" si="70"/>
        <v>0</v>
      </c>
      <c r="CV90" s="265" t="s">
        <v>605</v>
      </c>
      <c r="CW90" s="265" t="s">
        <v>608</v>
      </c>
      <c r="CX90" s="267">
        <f>INDEX($M$86:$Z$100,MATCH($CW90,$L$86:$L$100,0),MATCH(CX$87,$M$87:$Z$87,0))/INDEX(고양시_재차인원!$D$4:$H$35,MATCH("고양시",고양시_재차인원!$B$4:$B$35,0),MATCH($CX$86,고양시_재차인원!$D$4:$H$4,0))</f>
        <v>76.069661042322792</v>
      </c>
      <c r="CY90" s="267">
        <f>INDEX($M$86:$Z$100,MATCH($CW90,$L$86:$L$100,0),MATCH(CY$87,$M$87:$Z$87,0))/INDEX(고양시_재차인원!$K$4:$O$20,MATCH("경기도",고양시_재차인원!$K$4:$K$20,0),MATCH($CY$87,고양시_재차인원!$K$4:$O$4,0))</f>
        <v>6.2923498364432224E-4</v>
      </c>
      <c r="CZ90" s="267">
        <f>INDEX($M$86:$Z$100,MATCH($CW90,$L$86:$L$100,0),MATCH(CZ$87,$M$87:$Z$87,0))/INDEX(고양시_재차인원!$K$4:$O$20,MATCH("경기도",고양시_재차인원!$K$4:$K$20,0),MATCH($CZ$87,고양시_재차인원!$K$4:$O$4,0))</f>
        <v>0.17492732545312156</v>
      </c>
      <c r="DA90" s="267">
        <f>INDEX($M$86:$Z$100,MATCH($CW90,$L$86:$L$100,0),MATCH(DA$87,$M$87:$Z$87,0))/INDEX(고양시_재차인원!$D$4:$H$35,MATCH("고양시",고양시_재차인원!$B$4:$B$35,0),MATCH($CX$86,고양시_재차인원!$D$4:$H$4,0))</f>
        <v>4.8847624143698658</v>
      </c>
      <c r="DB90" s="267">
        <f>INDEX($AA$86:$AN$100,MATCH($CW90,$L$86:$L$100,0),MATCH(DB$87,$AA$87:$AN$87,0))/INDEX(고양시_재차인원!$D$4:$H$35,MATCH("고양시",고양시_재차인원!$B$4:$B$35,0),MATCH($DB$86,고양시_재차인원!$D$4:$H$4,0))</f>
        <v>437.30177542901856</v>
      </c>
      <c r="DC90" s="267">
        <f>INDEX($AA$86:$AN$100,MATCH($CW90,$L$86:$L$100,0),MATCH(DC$87,$AA$87:$AN$87,0))/INDEX(고양시_재차인원!$K$4:$O$20,MATCH("경기도",고양시_재차인원!$K$4:$K$20,0),MATCH(DC$87,고양시_재차인원!$K$4:$O$4,0))</f>
        <v>4.5539023065980008E-3</v>
      </c>
      <c r="DD90" s="267">
        <f>INDEX($AA$86:$AN$100,MATCH($CW90,$L$86:$L$100,0),MATCH(DD$87,$AA$87:$AN$87,0))/INDEX(고양시_재차인원!$K$4:$O$20,MATCH("경기도",고양시_재차인원!$K$4:$K$20,0),MATCH(DD$87,고양시_재차인원!$K$4:$O$4,0))</f>
        <v>1.2659848412342438</v>
      </c>
      <c r="DE90" s="267">
        <f>INDEX($AA$86:$AN$100,MATCH($CW90,$L$86:$L$100,0),MATCH(DE$87,$AA$87:$AN$87,0))/INDEX(고양시_재차인원!$D$4:$H$35,MATCH("고양시",고양시_재차인원!$B$4:$B$35,0),MATCH($DB$86,고양시_재차인원!$D$4:$H$4,0))</f>
        <v>28.081041075816199</v>
      </c>
      <c r="DF90" s="267">
        <f>INDEX($AO$86:$BB$100,MATCH($CW90,$L$86:$L$100,0),MATCH(DF$87,$AO$87:$BB$87,0))/INDEX(고양시_재차인원!$D$4:$H$35,MATCH("고양시",고양시_재차인원!$B$4:$B$35,0),MATCH($DF$86,고양시_재차인원!$D$4:$H$4,0))</f>
        <v>27.209659865722529</v>
      </c>
      <c r="DG90" s="267">
        <f>INDEX($AO$86:$BB$100,MATCH($CW90,$L$86:$L$100,0),MATCH(DG$87,$AO$87:$BB$87,0))/INDEX(고양시_재차인원!$K$4:$O$20,MATCH("경기도",고양시_재차인원!$K$4:$K$20,0),MATCH(DG$87,고양시_재차인원!$K$4:$O$4,0))</f>
        <v>2.6124610347477456E-4</v>
      </c>
      <c r="DH90" s="267">
        <f>INDEX($AO$86:$BB$100,MATCH($CW90,$L$86:$L$100,0),MATCH(DH$87,$AO$87:$BB$87,0))/INDEX(고양시_재차인원!$K$4:$O$20,MATCH("경기도",고양시_재차인원!$K$4:$K$20,0),MATCH(DH$87,고양시_재차인원!$K$4:$O$4,0))</f>
        <v>7.2626416765987314E-2</v>
      </c>
      <c r="DI90" s="267">
        <f>INDEX($AO$86:$BB$100,MATCH($CW90,$L$86:$L$100,0),MATCH(DI$87,$AO$87:$BB$87,0))/INDEX(고양시_재차인원!$D$4:$H$35,MATCH("고양시",고양시_재차인원!$B$4:$B$35,0),MATCH($DF$86,고양시_재차인원!$D$4:$H$4,0))</f>
        <v>1.7472501125766964</v>
      </c>
      <c r="DJ90" s="267">
        <f>INDEX($BC$86:$BP$100,MATCH($CW90,$L$86:$L$100,0),MATCH(DJ$87,$BC$87:$BP$87,0))/INDEX(고양시_재차인원!$D$4:$H$35,MATCH("고양시",고양시_재차인원!$B$4:$B$35,0),MATCH($DJ$86,고양시_재차인원!$D$4:$H$4,0))</f>
        <v>4.0873599311434E-2</v>
      </c>
      <c r="DK90" s="267">
        <f>INDEX($BC$86:$BP$100,MATCH($CW90,$L$86:$L$100,0),MATCH(DK$87,$BC$87:$BP$87,0))/INDEX(고양시_재차인원!$K$4:$O$20,MATCH("경기도",고양시_재차인원!$K$4:$K$20,0),MATCH(DK$87,고양시_재차인원!$K$4:$O$4,0))</f>
        <v>4.1054914113374564E-7</v>
      </c>
      <c r="DL90" s="267">
        <f>INDEX($BC$86:$BP$100,MATCH($CW90,$L$86:$L$100,0),MATCH(DL$87,$BC$87:$BP$87,0))/INDEX(고양시_재차인원!$K$4:$O$20,MATCH("경기도",고양시_재차인원!$K$4:$K$20,0),MATCH(DL$87,고양시_재차인원!$K$4:$O$4,0))</f>
        <v>1.1413266123518129E-4</v>
      </c>
      <c r="DM90" s="267">
        <f>INDEX($BC$86:$BP$100,MATCH($CW90,$L$86:$L$100,0),MATCH(DM$87,$BC$87:$BP$87,0))/INDEX(고양시_재차인원!$D$4:$H$35,MATCH("고양시",고양시_재차인원!$B$4:$B$35,0),MATCH($DJ$86,고양시_재차인원!$D$4:$H$4,0))</f>
        <v>2.6246708467048841E-3</v>
      </c>
      <c r="DN90" s="267">
        <f>INDEX($BQ$86:$CD$100,MATCH($CW90,$L$86:$L$100,0),MATCH(DN$87,$BQ$87:$CD$87,0))/INDEX(고양시_재차인원!$D$4:$H$35,MATCH("고양시",고양시_재차인원!$B$4:$B$35,0),MATCH($DN$86,고양시_재차인원!$D$4:$H$4,0))</f>
        <v>0.16666624622228521</v>
      </c>
      <c r="DO90" s="267">
        <f>INDEX($BQ$86:$CD$100,MATCH($CW90,$L$86:$L$100,0),MATCH(DO$87,$BQ$87:$CD$87,0))/INDEX(고양시_재차인원!$K$4:$O$20,MATCH("경기도",고양시_재차인원!$K$4:$K$20,0),MATCH(DO$87,고양시_재차인원!$K$4:$O$4,0))</f>
        <v>1.5509634220608218E-6</v>
      </c>
      <c r="DP90" s="267">
        <f>INDEX($BQ$86:$CD$100,MATCH($CW90,$L$86:$L$100,0),MATCH(DP$87,$BQ$87:$CD$87,0))/INDEX(고양시_재차인원!$K$4:$O$20,MATCH("경기도",고양시_재차인원!$K$4:$K$20,0),MATCH(DP$87,고양시_재차인원!$K$4:$O$4,0))</f>
        <v>4.3116783133290842E-4</v>
      </c>
      <c r="DQ90" s="267">
        <f>INDEX($BQ$86:$CD$100,MATCH($CW90,$L$86:$L$100,0),MATCH(DQ$87,$BQ$87:$CD$87,0))/INDEX(고양시_재차인원!$D$4:$H$35,MATCH("고양시",고양시_재차인원!$B$4:$B$35,0),MATCH($DN$86,고양시_재차인원!$D$4:$H$4,0))</f>
        <v>1.0702361547763158E-2</v>
      </c>
      <c r="DR90" s="270">
        <f t="shared" si="71"/>
        <v>540.78863618259754</v>
      </c>
      <c r="DS90" s="270">
        <f t="shared" si="64"/>
        <v>5.4463449062802927E-3</v>
      </c>
      <c r="DT90" s="270">
        <f t="shared" si="65"/>
        <v>1.514083883945921</v>
      </c>
      <c r="DU90" s="270">
        <f t="shared" si="66"/>
        <v>34.726380635157227</v>
      </c>
      <c r="DW90" s="278" t="s">
        <v>605</v>
      </c>
      <c r="DX90" s="278" t="s">
        <v>608</v>
      </c>
      <c r="DY90" s="281">
        <f t="shared" si="72"/>
        <v>575.51501681775471</v>
      </c>
      <c r="DZ90" s="281">
        <f t="shared" si="73"/>
        <v>1.5195302288522012</v>
      </c>
      <c r="EB90" s="278" t="s">
        <v>622</v>
      </c>
      <c r="EC90" s="278" t="s">
        <v>608</v>
      </c>
      <c r="ED90" s="309">
        <f t="shared" si="74"/>
        <v>675.94835846841841</v>
      </c>
      <c r="EE90" s="309">
        <f t="shared" si="67"/>
        <v>1.7847040195669464</v>
      </c>
      <c r="EK90" s="420" t="s">
        <v>622</v>
      </c>
      <c r="EL90" s="420" t="s">
        <v>637</v>
      </c>
      <c r="EM90" s="420" t="s">
        <v>568</v>
      </c>
      <c r="EN90" s="420">
        <v>38657.855799999998</v>
      </c>
      <c r="EO90" s="420">
        <v>1</v>
      </c>
      <c r="EP90" s="421">
        <v>849003</v>
      </c>
      <c r="EQ90" s="422">
        <f t="shared" si="75"/>
        <v>806.05758250716883</v>
      </c>
      <c r="ER90" s="422">
        <f t="shared" si="76"/>
        <v>2.1282309358107159</v>
      </c>
      <c r="ES90">
        <v>0</v>
      </c>
      <c r="EU90" s="306" t="s">
        <v>622</v>
      </c>
      <c r="EV90" s="306" t="s">
        <v>198</v>
      </c>
      <c r="EW90" s="306" t="s">
        <v>568</v>
      </c>
      <c r="EX90" s="306">
        <v>38657.855799999998</v>
      </c>
      <c r="EY90" s="306">
        <v>1</v>
      </c>
      <c r="EZ90" s="307">
        <v>849003</v>
      </c>
      <c r="FA90" s="308">
        <f t="shared" si="77"/>
        <v>806.05758250716883</v>
      </c>
      <c r="FB90" s="308">
        <f t="shared" si="68"/>
        <v>2.1282309358107159</v>
      </c>
      <c r="FD90" s="101"/>
      <c r="FE90" s="101"/>
      <c r="FF90" s="101"/>
      <c r="FG90" s="101"/>
      <c r="FH90" s="101"/>
      <c r="FI90" s="374"/>
      <c r="FJ90" s="404"/>
      <c r="FK90" s="404"/>
    </row>
    <row r="91" spans="1:167">
      <c r="A91" s="205" t="s">
        <v>605</v>
      </c>
      <c r="B91" s="205" t="s">
        <v>609</v>
      </c>
      <c r="C91" s="201">
        <f>$K32*KTDB_TripDistribution_2035!T$12</f>
        <v>184.72511435470511</v>
      </c>
      <c r="D91" s="201">
        <f>$K32*KTDB_TripDistribution_2035!U$12</f>
        <v>1336.8934439633354</v>
      </c>
      <c r="E91" s="201">
        <f>$K32*KTDB_TripDistribution_2035!V$12</f>
        <v>76.694267791024942</v>
      </c>
      <c r="F91" s="201">
        <f>$K32*KTDB_TripDistribution_2035!W$12</f>
        <v>0.12052530297175165</v>
      </c>
      <c r="G91" s="201">
        <f>$K32*KTDB_TripDistribution_2035!X$12</f>
        <v>0.4553178112266188</v>
      </c>
      <c r="H91" s="201">
        <f>$K32*KTDB_TripDistribution_2035!Y$12</f>
        <v>1598.8886692232641</v>
      </c>
      <c r="J91" s="230">
        <f t="shared" si="50"/>
        <v>1598.8886692232638</v>
      </c>
      <c r="K91" s="206" t="s">
        <v>605</v>
      </c>
      <c r="L91" s="206" t="s">
        <v>609</v>
      </c>
      <c r="M91" s="206">
        <f>INDEX($A$87:$H$100,MATCH($L91,$B$87:$B$100,0),MATCH($M$86,$A$87:$H$87,0))*고양시_Modal_split!C$3 * 0.01</f>
        <v>0.51723032019317428</v>
      </c>
      <c r="N91" s="206">
        <f>INDEX($A$87:$H$100,MATCH($L91,$B$87:$B$100,0),MATCH($M$86,$A$87:$H$87,0))*고양시_Modal_split!D$3 * 0.01</f>
        <v>86.87622128101782</v>
      </c>
      <c r="O91" s="206">
        <f>INDEX($A$87:$H$100,MATCH($L91,$B$87:$B$100,0),MATCH($M$86,$A$87:$H$87,0))*고양시_Modal_split!E$3 * 0.01</f>
        <v>10.510859006782722</v>
      </c>
      <c r="P91" s="206">
        <f>INDEX($A$87:$H$100,MATCH($L91,$B$87:$B$100,0),MATCH($M$86,$A$87:$H$87,0))*고양시_Modal_split!F$3 * 0.01</f>
        <v>16.939292986326461</v>
      </c>
      <c r="Q91" s="206">
        <f>INDEX($A$87:$H$100,MATCH($L91,$B$87:$B$100,0),MATCH($M$86,$A$87:$H$87,0))*고양시_Modal_split!G$3 * 0.01</f>
        <v>1.699471052063287</v>
      </c>
      <c r="R91" s="206">
        <f>INDEX($A$87:$H$100,MATCH($L91,$B$87:$B$100,0),MATCH($M$86,$A$87:$H$87,0))*고양시_Modal_split!H$3 * 0.01</f>
        <v>1.8472511435470511E-2</v>
      </c>
      <c r="S91" s="206">
        <f>INDEX($A$87:$H$100,MATCH($L91,$B$87:$B$100,0),MATCH($M$86,$A$87:$H$87,0))*고양시_Modal_split!I$3 * 0.01</f>
        <v>5.1353581790608018</v>
      </c>
      <c r="T91" s="206">
        <f>INDEX($A$87:$H$100,MATCH($L91,$B$87:$B$100,0),MATCH($M$86,$A$87:$H$87,0))*고양시_Modal_split!J$3 * 0.01</f>
        <v>56.230324809572238</v>
      </c>
      <c r="U91" s="206">
        <f>INDEX($A$87:$H$100,MATCH($L91,$B$87:$B$100,0),MATCH($M$86,$A$87:$H$87,0))*고양시_Modal_split!K$3 * 0.01</f>
        <v>0.27708767153205766</v>
      </c>
      <c r="V91" s="206">
        <f>INDEX($A$87:$H$100,MATCH($L91,$B$87:$B$100,0),MATCH($M$86,$A$87:$H$87,0))*고양시_Modal_split!L$3 * 0.01</f>
        <v>5.5786984535120938</v>
      </c>
      <c r="W91" s="206">
        <f>INDEX($A$87:$H$100,MATCH($L91,$B$87:$B$100,0),MATCH($M$86,$A$87:$H$87,0))*고양시_Modal_split!M$3 * 0.01</f>
        <v>0.42486776301582174</v>
      </c>
      <c r="X91" s="206">
        <f>INDEX($A$87:$H$100,MATCH($L91,$B$87:$B$100,0),MATCH($M$86,$A$87:$H$87,0))*고양시_Modal_split!N$3 * 0.01</f>
        <v>0.18472511435470512</v>
      </c>
      <c r="Y91" s="206">
        <f>INDEX($A$87:$H$100,MATCH($L91,$B$87:$B$100,0),MATCH($M$86,$A$87:$H$87,0))*고양시_Modal_split!O$3 * 0.01</f>
        <v>0.33250520583846921</v>
      </c>
      <c r="Z91" s="209">
        <f>INDEX($A$87:$H$100,MATCH($L91,$B$87:$B$100,0),MATCH($M$86,$A$87:$H$87,0))*고양시_Modal_split!P$3 * 0.01</f>
        <v>184.72511435470511</v>
      </c>
      <c r="AA91" s="207">
        <f>INDEX($A$87:$H$100,MATCH($L91,$B$87:$B$100,0),MATCH($AA$86,$A$87:$H$87,0))*고양시_Modal_split!C$3 * 0.01</f>
        <v>3.7433016430973387</v>
      </c>
      <c r="AB91" s="207">
        <f>INDEX($A$87:$H$100,MATCH($L91,$B$87:$B$100,0),MATCH($AA$86,$A$87:$H$87,0))*고양시_Modal_split!D$3 * 0.01</f>
        <v>628.74098669595662</v>
      </c>
      <c r="AC91" s="207">
        <f>INDEX($A$87:$H$100,MATCH($L91,$B$87:$B$100,0),MATCH($AA$86,$A$87:$H$87,0))*고양시_Modal_split!E$3 * 0.01</f>
        <v>76.069236961513781</v>
      </c>
      <c r="AD91" s="207">
        <f>INDEX($A$87:$H$100,MATCH($L91,$B$87:$B$100,0),MATCH($AA$86,$A$87:$H$87,0))*고양시_Modal_split!F$3 * 0.01</f>
        <v>122.59312881143785</v>
      </c>
      <c r="AE91" s="207">
        <f>INDEX($A$87:$H$100,MATCH($L91,$B$87:$B$100,0),MATCH($AA$86,$A$87:$H$87,0))*고양시_Modal_split!G$3 * 0.01</f>
        <v>12.299419684462684</v>
      </c>
      <c r="AF91" s="207">
        <f>INDEX($A$87:$H$100,MATCH($L91,$B$87:$B$100,0),MATCH($AA$86,$A$87:$H$87,0))*고양시_Modal_split!H$3 * 0.01</f>
        <v>0.13368934439633354</v>
      </c>
      <c r="AG91" s="207">
        <f>INDEX($A$87:$H$100,MATCH($L91,$B$87:$B$100,0),MATCH($AA$86,$A$87:$H$87,0))*고양시_Modal_split!I$3 * 0.01</f>
        <v>37.165637742180721</v>
      </c>
      <c r="AH91" s="207">
        <f>INDEX($A$87:$H$100,MATCH($L91,$B$87:$B$100,0),MATCH($AA$86,$A$87:$H$87,0))*고양시_Modal_split!J$3 * 0.01</f>
        <v>406.95036434243929</v>
      </c>
      <c r="AI91" s="207">
        <f>INDEX($A$87:$H$100,MATCH($L91,$B$87:$B$100,0),MATCH($AA$86,$A$87:$H$87,0))*고양시_Modal_split!K$3 * 0.01</f>
        <v>2.005340165945003</v>
      </c>
      <c r="AJ91" s="207">
        <f>INDEX($A$87:$H$100,MATCH($L91,$B$87:$B$100,0),MATCH($AA$86,$A$87:$H$87,0))*고양시_Modal_split!L$3 * 0.01</f>
        <v>40.374182007692731</v>
      </c>
      <c r="AK91" s="207">
        <f>INDEX($A$87:$H$100,MATCH($L91,$B$87:$B$100,0),MATCH($AA$86,$A$87:$H$87,0))*고양시_Modal_split!M$3 * 0.01</f>
        <v>3.074854921115671</v>
      </c>
      <c r="AL91" s="207">
        <f>INDEX($A$87:$H$100,MATCH($L91,$B$87:$B$100,0),MATCH($AA$86,$A$87:$H$87,0))*고양시_Modal_split!N$3 * 0.01</f>
        <v>1.3368934439633355</v>
      </c>
      <c r="AM91" s="207">
        <f>INDEX($A$87:$H$100,MATCH($L91,$B$87:$B$100,0),MATCH($AA$86,$A$87:$H$87,0))*고양시_Modal_split!O$3 * 0.01</f>
        <v>2.4064081991340034</v>
      </c>
      <c r="AN91" s="207">
        <f>INDEX($A$87:$H$100,MATCH($L91,$B$87:$B$100,0),MATCH($AA$86,$A$87:$H$87,0))*고양시_Modal_split!P$3 * 0.01</f>
        <v>1336.8934439633354</v>
      </c>
      <c r="AO91" s="303">
        <f>INDEX($A$87:$H$100,MATCH($L91,$B$87:$B$100,0),MATCH($AO$86,$A$87:$H$87,0))*고양시_Modal_split!C$3 * 0.01</f>
        <v>0.2147439498148698</v>
      </c>
      <c r="AP91" s="303">
        <f>INDEX($A$87:$H$100,MATCH($L91,$B$87:$B$100,0),MATCH($AO$86,$A$87:$H$87,0))*고양시_Modal_split!D$3 * 0.01</f>
        <v>36.069314142119033</v>
      </c>
      <c r="AQ91" s="303">
        <f>INDEX($A$87:$H$100,MATCH($L91,$B$87:$B$100,0),MATCH($AO$86,$A$87:$H$87,0))*고양시_Modal_split!E$3 * 0.01</f>
        <v>4.3639038373093193</v>
      </c>
      <c r="AR91" s="303">
        <f>INDEX($A$87:$H$100,MATCH($L91,$B$87:$B$100,0),MATCH($AO$86,$A$87:$H$87,0))*고양시_Modal_split!F$3 * 0.01</f>
        <v>7.0328643564369875</v>
      </c>
      <c r="AS91" s="303">
        <f>INDEX($A$87:$H$100,MATCH($L91,$B$87:$B$100,0),MATCH($AO$86,$A$87:$H$87,0))*고양시_Modal_split!G$3 * 0.01</f>
        <v>0.70558726367742941</v>
      </c>
      <c r="AT91" s="303">
        <f>INDEX($A$87:$H$100,MATCH($L91,$B$87:$B$100,0),MATCH($AO$86,$A$87:$H$87,0))*고양시_Modal_split!H$3 * 0.01</f>
        <v>7.6694267791024943E-3</v>
      </c>
      <c r="AU91" s="303">
        <f>INDEX($A$87:$H$100,MATCH($L91,$B$87:$B$100,0),MATCH($AO$86,$A$87:$H$87,0))*고양시_Modal_split!I$3 * 0.01</f>
        <v>2.1321006445904933</v>
      </c>
      <c r="AV91" s="303">
        <f>INDEX($A$87:$H$100,MATCH($L91,$B$87:$B$100,0),MATCH($AO$86,$A$87:$H$87,0))*고양시_Modal_split!J$3 * 0.01</f>
        <v>23.345735115587996</v>
      </c>
      <c r="AW91" s="303">
        <f>INDEX($A$87:$H$100,MATCH($L91,$B$87:$B$100,0),MATCH($AO$86,$A$87:$H$87,0))*고양시_Modal_split!K$3 * 0.01</f>
        <v>0.11504140168653741</v>
      </c>
      <c r="AX91" s="303">
        <f>INDEX($A$87:$H$100,MATCH($L91,$B$87:$B$100,0),MATCH($AO$86,$A$87:$H$87,0))*고양시_Modal_split!L$3 * 0.01</f>
        <v>2.3161668872889534</v>
      </c>
      <c r="AY91" s="303">
        <f>INDEX($A$87:$H$100,MATCH($L91,$B$87:$B$100,0),MATCH($AO$86,$A$87:$H$87,0))*고양시_Modal_split!M$3 * 0.01</f>
        <v>0.17639681591935735</v>
      </c>
      <c r="AZ91" s="303">
        <f>INDEX($A$87:$H$100,MATCH($L91,$B$87:$B$100,0),MATCH($AO$86,$A$87:$H$87,0))*고양시_Modal_split!N$3 * 0.01</f>
        <v>7.6694267791024937E-2</v>
      </c>
      <c r="BA91" s="207">
        <f>INDEX($A$87:$H$100,MATCH($L91,$B$87:$B$100,0),MATCH($AO$86,$A$87:$H$87,0))*고양시_Modal_split!O$3 * 0.01</f>
        <v>0.13804968202384488</v>
      </c>
      <c r="BB91" s="207">
        <f>INDEX($A$87:$H$100,MATCH($L91,$B$87:$B$100,0),MATCH($AO$86,$A$87:$H$87,0))*고양시_Modal_split!P$3 * 0.01</f>
        <v>76.694267791024942</v>
      </c>
      <c r="BC91" s="207">
        <f>INDEX($A$87:$H$100,MATCH($L91,$B$87:$B$100,0),MATCH($BC$86,$A$87:$H$87,0))*고양시_Modal_split!C$3 * 0.01</f>
        <v>3.3747084832090455E-4</v>
      </c>
      <c r="BD91" s="207">
        <f>INDEX($A$87:$H$100,MATCH($L91,$B$87:$B$100,0),MATCH($BC$86,$A$87:$H$87,0))*고양시_Modal_split!D$3 * 0.01</f>
        <v>5.6683049987614809E-2</v>
      </c>
      <c r="BE91" s="207">
        <f>INDEX($A$87:$H$100,MATCH($L91,$B$87:$B$100,0),MATCH($BC$86,$A$87:$H$87,0))*고양시_Modal_split!E$3 * 0.01</f>
        <v>6.8578897390926688E-3</v>
      </c>
      <c r="BF91" s="207">
        <f>INDEX($A$87:$H$100,MATCH($L91,$B$87:$B$100,0),MATCH($BC$86,$A$87:$H$87,0))*고양시_Modal_split!F$3 * 0.01</f>
        <v>1.1052170282509625E-2</v>
      </c>
      <c r="BG91" s="207">
        <f>INDEX($A$87:$H$100,MATCH($L91,$B$87:$B$100,0),MATCH($BC$86,$A$87:$H$87,0))*고양시_Modal_split!G$3 * 0.01</f>
        <v>1.1088327873401151E-3</v>
      </c>
      <c r="BH91" s="207">
        <f>INDEX($A$87:$H$100,MATCH($L91,$B$87:$B$100,0),MATCH($BC$86,$A$87:$H$87,0))*고양시_Modal_split!H$3 * 0.01</f>
        <v>1.2052530297175166E-5</v>
      </c>
      <c r="BI91" s="207">
        <f>INDEX($A$87:$H$100,MATCH($L91,$B$87:$B$100,0),MATCH($BC$86,$A$87:$H$87,0))*고양시_Modal_split!I$3 * 0.01</f>
        <v>3.350603422614696E-3</v>
      </c>
      <c r="BJ91" s="207">
        <f>INDEX($A$87:$H$100,MATCH($L91,$B$87:$B$100,0),MATCH($BC$86,$A$87:$H$87,0))*고양시_Modal_split!J$3 * 0.01</f>
        <v>3.6687902224601207E-2</v>
      </c>
      <c r="BK91" s="207">
        <f>INDEX($A$87:$H$100,MATCH($L91,$B$87:$B$100,0),MATCH($BC$86,$A$87:$H$87,0))*고양시_Modal_split!K$3 * 0.01</f>
        <v>1.8078795445762748E-4</v>
      </c>
      <c r="BL91" s="207">
        <f>INDEX($A$87:$H$100,MATCH($L91,$B$87:$B$100,0),MATCH($BC$86,$A$87:$H$87,0))*고양시_Modal_split!L$3 * 0.01</f>
        <v>3.6398641497468998E-3</v>
      </c>
      <c r="BM91" s="207">
        <f>INDEX($A$87:$H$100,MATCH($L91,$B$87:$B$100,0),MATCH($BC$86,$A$87:$H$87,0))*고양시_Modal_split!M$3 * 0.01</f>
        <v>2.7720819683502878E-4</v>
      </c>
      <c r="BN91" s="207">
        <f>INDEX($A$87:$H$100,MATCH($L91,$B$87:$B$100,0),MATCH($BC$86,$A$87:$H$87,0))*고양시_Modal_split!N$3 * 0.01</f>
        <v>1.2052530297175165E-4</v>
      </c>
      <c r="BO91" s="207">
        <f>INDEX($A$87:$H$100,MATCH($L91,$B$87:$B$100,0),MATCH($BC$86,$A$87:$H$87,0))*고양시_Modal_split!O$3 * 0.01</f>
        <v>2.1694554534915298E-4</v>
      </c>
      <c r="BP91" s="207">
        <f>INDEX($A$87:$H$100,MATCH($L91,$B$87:$B$100,0),MATCH($BC$86,$A$87:$H$87,0))*고양시_Modal_split!P$3 * 0.01</f>
        <v>0.12052530297175165</v>
      </c>
      <c r="BQ91" s="207">
        <f>INDEX($A$87:$H$100,MATCH($L91,$B$87:$B$100,0),MATCH($BQ$86,$A$87:$H$87,0))*고양시_Modal_split!C$3 * 0.01</f>
        <v>1.2748898714345326E-3</v>
      </c>
      <c r="BR91" s="207">
        <f>INDEX($A$87:$H$100,MATCH($L91,$B$87:$B$100,0),MATCH($BQ$86,$A$87:$H$87,0))*고양시_Modal_split!D$3 * 0.01</f>
        <v>0.21413596661987883</v>
      </c>
      <c r="BS91" s="207">
        <f>INDEX($A$87:$H$100,MATCH($L91,$B$87:$B$100,0),MATCH($BQ$86,$A$87:$H$87,0))*고양시_Modal_split!E$3 * 0.01</f>
        <v>2.5907583458794608E-2</v>
      </c>
      <c r="BT91" s="207">
        <f>INDEX($A$87:$H$100,MATCH($L91,$B$87:$B$100,0),MATCH($BQ$86,$A$87:$H$87,0))*고양시_Modal_split!F$3 * 0.01</f>
        <v>4.1752643289480938E-2</v>
      </c>
      <c r="BU91" s="207">
        <f>INDEX($A$87:$H$100,MATCH($L91,$B$87:$B$100,0),MATCH($BQ$86,$A$87:$H$87,0))*고양시_Modal_split!G$3 * 0.01</f>
        <v>4.1889238632848921E-3</v>
      </c>
      <c r="BV91" s="207">
        <f>INDEX($A$87:$H$100,MATCH($L91,$B$87:$B$100,0),MATCH($BQ$86,$A$87:$H$87,0))*고양시_Modal_split!H$3 * 0.01</f>
        <v>4.5531781122661882E-5</v>
      </c>
      <c r="BW91" s="207">
        <f>INDEX($A$87:$H$100,MATCH($L91,$B$87:$B$100,0),MATCH($BQ$86,$A$87:$H$87,0))*고양시_Modal_split!I$3 * 0.01</f>
        <v>1.2657835152100002E-2</v>
      </c>
      <c r="BX91" s="207">
        <f>INDEX($A$87:$H$100,MATCH($L91,$B$87:$B$100,0),MATCH($BQ$86,$A$87:$H$87,0))*고양시_Modal_split!J$3 * 0.01</f>
        <v>0.13859874173738276</v>
      </c>
      <c r="BY91" s="207">
        <f>INDEX($A$87:$H$100,MATCH($L91,$B$87:$B$100,0),MATCH($BQ$86,$A$87:$H$87,0))*고양시_Modal_split!K$3 * 0.01</f>
        <v>6.8297671683992809E-4</v>
      </c>
      <c r="BZ91" s="207">
        <f>INDEX($A$87:$H$100,MATCH($L91,$B$87:$B$100,0),MATCH($BQ$86,$A$87:$H$87,0))*고양시_Modal_split!L$3 * 0.01</f>
        <v>1.3750597899043888E-2</v>
      </c>
      <c r="CA91" s="207">
        <f>INDEX($A$87:$H$100,MATCH($L91,$B$87:$B$100,0),MATCH($BQ$86,$A$87:$H$87,0))*고양시_Modal_split!M$3 * 0.01</f>
        <v>1.047230965821223E-3</v>
      </c>
      <c r="CB91" s="207">
        <f>INDEX($A$87:$H$100,MATCH($L91,$B$87:$B$100,0),MATCH($BQ$86,$A$87:$H$87,0))*고양시_Modal_split!N$3 * 0.01</f>
        <v>4.5531781122661882E-4</v>
      </c>
      <c r="CC91" s="207">
        <f>INDEX($A$87:$H$100,MATCH($L91,$B$87:$B$100,0),MATCH($BQ$86,$A$87:$H$87,0))*고양시_Modal_split!O$3 * 0.01</f>
        <v>8.1957206020791392E-4</v>
      </c>
      <c r="CD91" s="207">
        <f>INDEX($A$87:$H$100,MATCH($L91,$B$87:$B$100,0),MATCH($BQ$86,$A$87:$H$87,0))*고양시_Modal_split!P$3 * 0.01</f>
        <v>0.45531781122661885</v>
      </c>
      <c r="CE91" s="304">
        <f t="shared" si="69"/>
        <v>4.4768882738251383</v>
      </c>
      <c r="CF91" s="304">
        <f t="shared" si="51"/>
        <v>751.95734113570109</v>
      </c>
      <c r="CG91" s="304">
        <f t="shared" si="52"/>
        <v>90.976765278803711</v>
      </c>
      <c r="CH91" s="304">
        <f t="shared" si="53"/>
        <v>146.61809096777327</v>
      </c>
      <c r="CI91" s="304">
        <f t="shared" si="54"/>
        <v>14.709775756854027</v>
      </c>
      <c r="CJ91" s="304">
        <f t="shared" si="55"/>
        <v>0.15988886692232637</v>
      </c>
      <c r="CK91" s="304">
        <f t="shared" si="56"/>
        <v>44.449105004406732</v>
      </c>
      <c r="CL91" s="304">
        <f t="shared" si="57"/>
        <v>486.70171091156152</v>
      </c>
      <c r="CM91" s="304">
        <f t="shared" si="58"/>
        <v>2.398333003834896</v>
      </c>
      <c r="CN91" s="304">
        <f t="shared" si="59"/>
        <v>48.286437810542566</v>
      </c>
      <c r="CO91" s="304">
        <f t="shared" si="60"/>
        <v>3.6774439392135068</v>
      </c>
      <c r="CP91" s="304">
        <f t="shared" si="61"/>
        <v>1.5988886692232638</v>
      </c>
      <c r="CQ91" s="304">
        <f t="shared" si="62"/>
        <v>2.8779996046018748</v>
      </c>
      <c r="CR91" s="304">
        <f t="shared" si="63"/>
        <v>1598.8886692232638</v>
      </c>
      <c r="CS91" s="305">
        <f t="shared" si="70"/>
        <v>0</v>
      </c>
      <c r="CV91" s="265" t="s">
        <v>605</v>
      </c>
      <c r="CW91" s="265" t="s">
        <v>609</v>
      </c>
      <c r="CX91" s="267">
        <f>INDEX($M$86:$Z$100,MATCH($CW91,$L$86:$L$100,0),MATCH(CX$87,$M$87:$Z$87,0))/INDEX(고양시_재차인원!$D$4:$H$35,MATCH("고양시",고양시_재차인원!$B$4:$B$35,0),MATCH($CX$86,고양시_재차인원!$D$4:$H$4,0))</f>
        <v>77.568054715194478</v>
      </c>
      <c r="CY91" s="267">
        <f>INDEX($M$86:$Z$100,MATCH($CW91,$L$86:$L$100,0),MATCH(CY$87,$M$87:$Z$87,0))/INDEX(고양시_재차인원!$K$4:$O$20,MATCH("경기도",고양시_재차인원!$K$4:$K$20,0),MATCH($CY$87,고양시_재차인원!$K$4:$O$4,0))</f>
        <v>6.4162943506323414E-4</v>
      </c>
      <c r="CZ91" s="267">
        <f>INDEX($M$86:$Z$100,MATCH($CW91,$L$86:$L$100,0),MATCH(CZ$87,$M$87:$Z$87,0))/INDEX(고양시_재차인원!$K$4:$O$20,MATCH("경기도",고양시_재차인원!$K$4:$K$20,0),MATCH($CZ$87,고양시_재차인원!$K$4:$O$4,0))</f>
        <v>0.17837298294757908</v>
      </c>
      <c r="DA91" s="267">
        <f>INDEX($M$86:$Z$100,MATCH($CW91,$L$86:$L$100,0),MATCH(DA$87,$M$87:$Z$87,0))/INDEX(고양시_재차인원!$D$4:$H$35,MATCH("고양시",고양시_재차인원!$B$4:$B$35,0),MATCH($CX$86,고양시_재차인원!$D$4:$H$4,0))</f>
        <v>4.9809807620643687</v>
      </c>
      <c r="DB91" s="267">
        <f>INDEX($AA$86:$AN$100,MATCH($CW91,$L$86:$L$100,0),MATCH(DB$87,$AA$87:$AN$87,0))/INDEX(고양시_재차인원!$D$4:$H$35,MATCH("고양시",고양시_재차인원!$B$4:$B$35,0),MATCH($DB$86,고양시_재차인원!$D$4:$H$4,0))</f>
        <v>445.9155934013877</v>
      </c>
      <c r="DC91" s="267">
        <f>INDEX($AA$86:$AN$100,MATCH($CW91,$L$86:$L$100,0),MATCH(DC$87,$AA$87:$AN$87,0))/INDEX(고양시_재차인원!$K$4:$O$20,MATCH("경기도",고양시_재차인원!$K$4:$K$20,0),MATCH(DC$87,고양시_재차인원!$K$4:$O$4,0))</f>
        <v>4.6436034871946349E-3</v>
      </c>
      <c r="DD91" s="267">
        <f>INDEX($AA$86:$AN$100,MATCH($CW91,$L$86:$L$100,0),MATCH(DD$87,$AA$87:$AN$87,0))/INDEX(고양시_재차인원!$K$4:$O$20,MATCH("경기도",고양시_재차인원!$K$4:$K$20,0),MATCH(DD$87,고양시_재차인원!$K$4:$O$4,0))</f>
        <v>1.2909217694401085</v>
      </c>
      <c r="DE91" s="267">
        <f>INDEX($AA$86:$AN$100,MATCH($CW91,$L$86:$L$100,0),MATCH(DE$87,$AA$87:$AN$87,0))/INDEX(고양시_재차인원!$D$4:$H$35,MATCH("고양시",고양시_재차인원!$B$4:$B$35,0),MATCH($DB$86,고양시_재차인원!$D$4:$H$4,0))</f>
        <v>28.634171636661513</v>
      </c>
      <c r="DF91" s="267">
        <f>INDEX($AO$86:$BB$100,MATCH($CW91,$L$86:$L$100,0),MATCH(DF$87,$AO$87:$BB$87,0))/INDEX(고양시_재차인원!$D$4:$H$35,MATCH("고양시",고양시_재차인원!$B$4:$B$35,0),MATCH($DF$86,고양시_재차인원!$D$4:$H$4,0))</f>
        <v>27.745626263168486</v>
      </c>
      <c r="DG91" s="267">
        <f>INDEX($AO$86:$BB$100,MATCH($CW91,$L$86:$L$100,0),MATCH(DG$87,$AO$87:$BB$87,0))/INDEX(고양시_재차인원!$K$4:$O$20,MATCH("경기도",고양시_재차인원!$K$4:$K$20,0),MATCH(DG$87,고양시_재차인원!$K$4:$O$4,0))</f>
        <v>2.6639203817653681E-4</v>
      </c>
      <c r="DH91" s="267">
        <f>INDEX($AO$86:$BB$100,MATCH($CW91,$L$86:$L$100,0),MATCH(DH$87,$AO$87:$BB$87,0))/INDEX(고양시_재차인원!$K$4:$O$20,MATCH("경기도",고양시_재차인원!$K$4:$K$20,0),MATCH(DH$87,고양시_재차인원!$K$4:$O$4,0))</f>
        <v>7.4056986613077233E-2</v>
      </c>
      <c r="DI91" s="267">
        <f>INDEX($AO$86:$BB$100,MATCH($CW91,$L$86:$L$100,0),MATCH(DI$87,$AO$87:$BB$87,0))/INDEX(고양시_재차인원!$D$4:$H$35,MATCH("고양시",고양시_재차인원!$B$4:$B$35,0),MATCH($DF$86,고양시_재차인원!$D$4:$H$4,0))</f>
        <v>1.7816668363761179</v>
      </c>
      <c r="DJ91" s="267">
        <f>INDEX($BC$86:$BP$100,MATCH($CW91,$L$86:$L$100,0),MATCH(DJ$87,$BC$87:$BP$87,0))/INDEX(고양시_재차인원!$D$4:$H$35,MATCH("고양시",고양시_재차인원!$B$4:$B$35,0),MATCH($DJ$86,고양시_재차인원!$D$4:$H$4,0))</f>
        <v>4.167871322618736E-2</v>
      </c>
      <c r="DK91" s="267">
        <f>INDEX($BC$86:$BP$100,MATCH($CW91,$L$86:$L$100,0),MATCH(DK$87,$BC$87:$BP$87,0))/INDEX(고양시_재차인원!$K$4:$O$20,MATCH("경기도",고양시_재차인원!$K$4:$K$20,0),MATCH(DK$87,고양시_재차인원!$K$4:$O$4,0))</f>
        <v>4.1863599503908186E-7</v>
      </c>
      <c r="DL91" s="267">
        <f>INDEX($BC$86:$BP$100,MATCH($CW91,$L$86:$L$100,0),MATCH(DL$87,$BC$87:$BP$87,0))/INDEX(고양시_재차인원!$K$4:$O$20,MATCH("경기도",고양시_재차인원!$K$4:$K$20,0),MATCH(DL$87,고양시_재차인원!$K$4:$O$4,0))</f>
        <v>1.1638080662086475E-4</v>
      </c>
      <c r="DM91" s="267">
        <f>INDEX($BC$86:$BP$100,MATCH($CW91,$L$86:$L$100,0),MATCH(DM$87,$BC$87:$BP$87,0))/INDEX(고양시_재차인원!$D$4:$H$35,MATCH("고양시",고양시_재차인원!$B$4:$B$35,0),MATCH($DJ$86,고양시_재차인원!$D$4:$H$4,0))</f>
        <v>2.6763706983433085E-3</v>
      </c>
      <c r="DN91" s="267">
        <f>INDEX($BQ$86:$CD$100,MATCH($CW91,$L$86:$L$100,0),MATCH(DN$87,$BQ$87:$CD$87,0))/INDEX(고양시_재차인원!$D$4:$H$35,MATCH("고양시",고양시_재차인원!$B$4:$B$35,0),MATCH($DN$86,고양시_재차인원!$D$4:$H$4,0))</f>
        <v>0.16994917985704669</v>
      </c>
      <c r="DO91" s="267">
        <f>INDEX($BQ$86:$CD$100,MATCH($CW91,$L$86:$L$100,0),MATCH(DO$87,$BQ$87:$CD$87,0))/INDEX(고양시_재차인원!$K$4:$O$20,MATCH("경기도",고양시_재차인원!$K$4:$K$20,0),MATCH(DO$87,고양시_재차인원!$K$4:$O$4,0))</f>
        <v>1.5815137590365364E-6</v>
      </c>
      <c r="DP91" s="267">
        <f>INDEX($BQ$86:$CD$100,MATCH($CW91,$L$86:$L$100,0),MATCH(DP$87,$BQ$87:$CD$87,0))/INDEX(고양시_재차인원!$K$4:$O$20,MATCH("경기도",고양시_재차인원!$K$4:$K$20,0),MATCH(DP$87,고양시_재차인원!$K$4:$O$4,0))</f>
        <v>4.3966082501215709E-4</v>
      </c>
      <c r="DQ91" s="267">
        <f>INDEX($BQ$86:$CD$100,MATCH($CW91,$L$86:$L$100,0),MATCH(DQ$87,$BQ$87:$CD$87,0))/INDEX(고양시_재차인원!$D$4:$H$35,MATCH("고양시",고양시_재차인원!$B$4:$B$35,0),MATCH($DN$86,고양시_재차인원!$D$4:$H$4,0))</f>
        <v>1.0913172935749118E-2</v>
      </c>
      <c r="DR91" s="270">
        <f t="shared" si="71"/>
        <v>551.4409022728338</v>
      </c>
      <c r="DS91" s="270">
        <f t="shared" si="64"/>
        <v>5.5536251101884811E-3</v>
      </c>
      <c r="DT91" s="270">
        <f t="shared" si="65"/>
        <v>1.5439077806323978</v>
      </c>
      <c r="DU91" s="270">
        <f t="shared" si="66"/>
        <v>35.410408778736098</v>
      </c>
      <c r="DW91" s="278" t="s">
        <v>605</v>
      </c>
      <c r="DX91" s="278" t="s">
        <v>609</v>
      </c>
      <c r="DY91" s="281">
        <f t="shared" si="72"/>
        <v>586.85131105156984</v>
      </c>
      <c r="DZ91" s="281">
        <f t="shared" si="73"/>
        <v>1.5494614057425862</v>
      </c>
      <c r="EB91" s="278" t="s">
        <v>622</v>
      </c>
      <c r="EC91" s="278" t="s">
        <v>609</v>
      </c>
      <c r="ED91" s="309">
        <f t="shared" si="74"/>
        <v>689.14868724550035</v>
      </c>
      <c r="EE91" s="309">
        <f t="shared" si="67"/>
        <v>1.819556800157232</v>
      </c>
      <c r="EK91" s="420" t="s">
        <v>622</v>
      </c>
      <c r="EL91" s="420" t="s">
        <v>638</v>
      </c>
      <c r="EM91" s="420" t="s">
        <v>76</v>
      </c>
      <c r="EN91" s="420">
        <v>38408.5</v>
      </c>
      <c r="EO91" s="420">
        <v>1</v>
      </c>
      <c r="EP91" s="421">
        <v>849004</v>
      </c>
      <c r="EQ91" s="422">
        <f t="shared" si="75"/>
        <v>801.20817954947404</v>
      </c>
      <c r="ER91" s="422">
        <f t="shared" si="76"/>
        <v>2.1154270746241788</v>
      </c>
      <c r="ES91">
        <v>0</v>
      </c>
      <c r="EU91" s="306" t="s">
        <v>622</v>
      </c>
      <c r="EV91" s="306" t="s">
        <v>199</v>
      </c>
      <c r="EW91" s="306" t="s">
        <v>76</v>
      </c>
      <c r="EX91" s="306">
        <v>38408.5</v>
      </c>
      <c r="EY91" s="306">
        <v>1</v>
      </c>
      <c r="EZ91" s="307">
        <v>849004</v>
      </c>
      <c r="FA91" s="308">
        <f t="shared" si="77"/>
        <v>801.20817954947404</v>
      </c>
      <c r="FB91" s="308">
        <f t="shared" si="68"/>
        <v>2.1154270746241788</v>
      </c>
      <c r="FD91" s="101"/>
      <c r="FE91" s="101"/>
      <c r="FF91" s="101"/>
      <c r="FG91" s="101"/>
      <c r="FH91" s="101"/>
      <c r="FI91" s="374"/>
      <c r="FJ91" s="404"/>
      <c r="FK91" s="404"/>
    </row>
    <row r="92" spans="1:167">
      <c r="A92" s="205" t="s">
        <v>12</v>
      </c>
      <c r="B92" s="205" t="s">
        <v>12</v>
      </c>
      <c r="C92" s="201">
        <f>$K33*KTDB_TripDistribution_2035!T$12</f>
        <v>22.904249732883191</v>
      </c>
      <c r="D92" s="201">
        <f>$K33*KTDB_TripDistribution_2035!U$12</f>
        <v>165.76274110727371</v>
      </c>
      <c r="E92" s="201">
        <f>$K33*KTDB_TripDistribution_2035!V$12</f>
        <v>9.5093981600857092</v>
      </c>
      <c r="F92" s="201">
        <f>$K33*KTDB_TripDistribution_2035!W$12</f>
        <v>1.4944051587353072E-2</v>
      </c>
      <c r="G92" s="201">
        <f>$K33*KTDB_TripDistribution_2035!X$12</f>
        <v>5.6455305996667336E-2</v>
      </c>
      <c r="H92" s="201">
        <f>$K33*KTDB_TripDistribution_2035!Y$12</f>
        <v>198.24778835782666</v>
      </c>
      <c r="J92" s="230">
        <f t="shared" si="50"/>
        <v>198.24778835782666</v>
      </c>
      <c r="K92" s="206" t="s">
        <v>12</v>
      </c>
      <c r="L92" s="206" t="s">
        <v>12</v>
      </c>
      <c r="M92" s="206">
        <f>INDEX($A$87:$H$100,MATCH($L92,$B$87:$B$100,0),MATCH($M$86,$A$87:$H$87,0))*고양시_Modal_split!C$3 * 0.01</f>
        <v>6.4131899252072938E-2</v>
      </c>
      <c r="N92" s="206">
        <f>INDEX($A$87:$H$100,MATCH($L92,$B$87:$B$100,0),MATCH($M$86,$A$87:$H$87,0))*고양시_Modal_split!D$3 * 0.01</f>
        <v>10.771868649374964</v>
      </c>
      <c r="O92" s="206">
        <f>INDEX($A$87:$H$100,MATCH($L92,$B$87:$B$100,0),MATCH($M$86,$A$87:$H$87,0))*고양시_Modal_split!E$3 * 0.01</f>
        <v>1.3032518098010533</v>
      </c>
      <c r="P92" s="206">
        <f>INDEX($A$87:$H$100,MATCH($L92,$B$87:$B$100,0),MATCH($M$86,$A$87:$H$87,0))*고양시_Modal_split!F$3 * 0.01</f>
        <v>2.1003197005053886</v>
      </c>
      <c r="Q92" s="206">
        <f>INDEX($A$87:$H$100,MATCH($L92,$B$87:$B$100,0),MATCH($M$86,$A$87:$H$87,0))*고양시_Modal_split!G$3 * 0.01</f>
        <v>0.21071909754252535</v>
      </c>
      <c r="R92" s="206">
        <f>INDEX($A$87:$H$100,MATCH($L92,$B$87:$B$100,0),MATCH($M$86,$A$87:$H$87,0))*고양시_Modal_split!H$3 * 0.01</f>
        <v>2.2904249732883194E-3</v>
      </c>
      <c r="S92" s="206">
        <f>INDEX($A$87:$H$100,MATCH($L92,$B$87:$B$100,0),MATCH($M$86,$A$87:$H$87,0))*고양시_Modal_split!I$3 * 0.01</f>
        <v>0.63673814257415262</v>
      </c>
      <c r="T92" s="206">
        <f>INDEX($A$87:$H$100,MATCH($L92,$B$87:$B$100,0),MATCH($M$86,$A$87:$H$87,0))*고양시_Modal_split!J$3 * 0.01</f>
        <v>6.9720536186896434</v>
      </c>
      <c r="U92" s="206">
        <f>INDEX($A$87:$H$100,MATCH($L92,$B$87:$B$100,0),MATCH($M$86,$A$87:$H$87,0))*고양시_Modal_split!K$3 * 0.01</f>
        <v>3.4356374599324786E-2</v>
      </c>
      <c r="V92" s="206">
        <f>INDEX($A$87:$H$100,MATCH($L92,$B$87:$B$100,0),MATCH($M$86,$A$87:$H$87,0))*고양시_Modal_split!L$3 * 0.01</f>
        <v>0.6917083419330724</v>
      </c>
      <c r="W92" s="206">
        <f>INDEX($A$87:$H$100,MATCH($L92,$B$87:$B$100,0),MATCH($M$86,$A$87:$H$87,0))*고양시_Modal_split!M$3 * 0.01</f>
        <v>5.2679774385631338E-2</v>
      </c>
      <c r="X92" s="206">
        <f>INDEX($A$87:$H$100,MATCH($L92,$B$87:$B$100,0),MATCH($M$86,$A$87:$H$87,0))*고양시_Modal_split!N$3 * 0.01</f>
        <v>2.290424973288319E-2</v>
      </c>
      <c r="Y92" s="206">
        <f>INDEX($A$87:$H$100,MATCH($L92,$B$87:$B$100,0),MATCH($M$86,$A$87:$H$87,0))*고양시_Modal_split!O$3 * 0.01</f>
        <v>4.1227649519189738E-2</v>
      </c>
      <c r="Z92" s="209">
        <f>INDEX($A$87:$H$100,MATCH($L92,$B$87:$B$100,0),MATCH($M$86,$A$87:$H$87,0))*고양시_Modal_split!P$3 * 0.01</f>
        <v>22.904249732883191</v>
      </c>
      <c r="AA92" s="207">
        <f>INDEX($A$87:$H$100,MATCH($L92,$B$87:$B$100,0),MATCH($AA$86,$A$87:$H$87,0))*고양시_Modal_split!C$3 * 0.01</f>
        <v>0.46413567510036635</v>
      </c>
      <c r="AB92" s="207">
        <f>INDEX($A$87:$H$100,MATCH($L92,$B$87:$B$100,0),MATCH($AA$86,$A$87:$H$87,0))*고양시_Modal_split!D$3 * 0.01</f>
        <v>77.958217142750826</v>
      </c>
      <c r="AC92" s="207">
        <f>INDEX($A$87:$H$100,MATCH($L92,$B$87:$B$100,0),MATCH($AA$86,$A$87:$H$87,0))*고양시_Modal_split!E$3 * 0.01</f>
        <v>9.4318999690038741</v>
      </c>
      <c r="AD92" s="207">
        <f>INDEX($A$87:$H$100,MATCH($L92,$B$87:$B$100,0),MATCH($AA$86,$A$87:$H$87,0))*고양시_Modal_split!F$3 * 0.01</f>
        <v>15.200443359536999</v>
      </c>
      <c r="AE92" s="207">
        <f>INDEX($A$87:$H$100,MATCH($L92,$B$87:$B$100,0),MATCH($AA$86,$A$87:$H$87,0))*고양시_Modal_split!G$3 * 0.01</f>
        <v>1.5250172181869182</v>
      </c>
      <c r="AF92" s="207">
        <f>INDEX($A$87:$H$100,MATCH($L92,$B$87:$B$100,0),MATCH($AA$86,$A$87:$H$87,0))*고양시_Modal_split!H$3 * 0.01</f>
        <v>1.657627411072737E-2</v>
      </c>
      <c r="AG92" s="207">
        <f>INDEX($A$87:$H$100,MATCH($L92,$B$87:$B$100,0),MATCH($AA$86,$A$87:$H$87,0))*고양시_Modal_split!I$3 * 0.01</f>
        <v>4.6082042027822085</v>
      </c>
      <c r="AH92" s="207">
        <f>INDEX($A$87:$H$100,MATCH($L92,$B$87:$B$100,0),MATCH($AA$86,$A$87:$H$87,0))*고양시_Modal_split!J$3 * 0.01</f>
        <v>50.458178393054126</v>
      </c>
      <c r="AI92" s="207">
        <f>INDEX($A$87:$H$100,MATCH($L92,$B$87:$B$100,0),MATCH($AA$86,$A$87:$H$87,0))*고양시_Modal_split!K$3 * 0.01</f>
        <v>0.24864411166091058</v>
      </c>
      <c r="AJ92" s="207">
        <f>INDEX($A$87:$H$100,MATCH($L92,$B$87:$B$100,0),MATCH($AA$86,$A$87:$H$87,0))*고양시_Modal_split!L$3 * 0.01</f>
        <v>5.0060347814396664</v>
      </c>
      <c r="AK92" s="207">
        <f>INDEX($A$87:$H$100,MATCH($L92,$B$87:$B$100,0),MATCH($AA$86,$A$87:$H$87,0))*고양시_Modal_split!M$3 * 0.01</f>
        <v>0.38125430454672954</v>
      </c>
      <c r="AL92" s="207">
        <f>INDEX($A$87:$H$100,MATCH($L92,$B$87:$B$100,0),MATCH($AA$86,$A$87:$H$87,0))*고양시_Modal_split!N$3 * 0.01</f>
        <v>0.16576274110727371</v>
      </c>
      <c r="AM92" s="207">
        <f>INDEX($A$87:$H$100,MATCH($L92,$B$87:$B$100,0),MATCH($AA$86,$A$87:$H$87,0))*고양시_Modal_split!O$3 * 0.01</f>
        <v>0.29837293399309267</v>
      </c>
      <c r="AN92" s="207">
        <f>INDEX($A$87:$H$100,MATCH($L92,$B$87:$B$100,0),MATCH($AA$86,$A$87:$H$87,0))*고양시_Modal_split!P$3 * 0.01</f>
        <v>165.76274110727374</v>
      </c>
      <c r="AO92" s="303">
        <f>INDEX($A$87:$H$100,MATCH($L92,$B$87:$B$100,0),MATCH($AO$86,$A$87:$H$87,0))*고양시_Modal_split!C$3 * 0.01</f>
        <v>2.6626314848239987E-2</v>
      </c>
      <c r="AP92" s="303">
        <f>INDEX($A$87:$H$100,MATCH($L92,$B$87:$B$100,0),MATCH($AO$86,$A$87:$H$87,0))*고양시_Modal_split!D$3 * 0.01</f>
        <v>4.4722699546883096</v>
      </c>
      <c r="AQ92" s="303">
        <f>INDEX($A$87:$H$100,MATCH($L92,$B$87:$B$100,0),MATCH($AO$86,$A$87:$H$87,0))*고양시_Modal_split!E$3 * 0.01</f>
        <v>0.54108475530887679</v>
      </c>
      <c r="AR92" s="303">
        <f>INDEX($A$87:$H$100,MATCH($L92,$B$87:$B$100,0),MATCH($AO$86,$A$87:$H$87,0))*고양시_Modal_split!F$3 * 0.01</f>
        <v>0.87201181127985949</v>
      </c>
      <c r="AS92" s="303">
        <f>INDEX($A$87:$H$100,MATCH($L92,$B$87:$B$100,0),MATCH($AO$86,$A$87:$H$87,0))*고양시_Modal_split!G$3 * 0.01</f>
        <v>8.7486463072788526E-2</v>
      </c>
      <c r="AT92" s="303">
        <f>INDEX($A$87:$H$100,MATCH($L92,$B$87:$B$100,0),MATCH($AO$86,$A$87:$H$87,0))*고양시_Modal_split!H$3 * 0.01</f>
        <v>9.5093981600857097E-4</v>
      </c>
      <c r="AU92" s="303">
        <f>INDEX($A$87:$H$100,MATCH($L92,$B$87:$B$100,0),MATCH($AO$86,$A$87:$H$87,0))*고양시_Modal_split!I$3 * 0.01</f>
        <v>0.26436126885038269</v>
      </c>
      <c r="AV92" s="303">
        <f>INDEX($A$87:$H$100,MATCH($L92,$B$87:$B$100,0),MATCH($AO$86,$A$87:$H$87,0))*고양시_Modal_split!J$3 * 0.01</f>
        <v>2.8946607999300897</v>
      </c>
      <c r="AW92" s="303">
        <f>INDEX($A$87:$H$100,MATCH($L92,$B$87:$B$100,0),MATCH($AO$86,$A$87:$H$87,0))*고양시_Modal_split!K$3 * 0.01</f>
        <v>1.4264097240128564E-2</v>
      </c>
      <c r="AX92" s="303">
        <f>INDEX($A$87:$H$100,MATCH($L92,$B$87:$B$100,0),MATCH($AO$86,$A$87:$H$87,0))*고양시_Modal_split!L$3 * 0.01</f>
        <v>0.28718382443458845</v>
      </c>
      <c r="AY92" s="303">
        <f>INDEX($A$87:$H$100,MATCH($L92,$B$87:$B$100,0),MATCH($AO$86,$A$87:$H$87,0))*고양시_Modal_split!M$3 * 0.01</f>
        <v>2.1871615768197131E-2</v>
      </c>
      <c r="AZ92" s="303">
        <f>INDEX($A$87:$H$100,MATCH($L92,$B$87:$B$100,0),MATCH($AO$86,$A$87:$H$87,0))*고양시_Modal_split!N$3 * 0.01</f>
        <v>9.5093981600857091E-3</v>
      </c>
      <c r="BA92" s="207">
        <f>INDEX($A$87:$H$100,MATCH($L92,$B$87:$B$100,0),MATCH($AO$86,$A$87:$H$87,0))*고양시_Modal_split!O$3 * 0.01</f>
        <v>1.7116916688154276E-2</v>
      </c>
      <c r="BB92" s="207">
        <f>INDEX($A$87:$H$100,MATCH($L92,$B$87:$B$100,0),MATCH($AO$86,$A$87:$H$87,0))*고양시_Modal_split!P$3 * 0.01</f>
        <v>9.5093981600857092</v>
      </c>
      <c r="BC92" s="207">
        <f>INDEX($A$87:$H$100,MATCH($L92,$B$87:$B$100,0),MATCH($BC$86,$A$87:$H$87,0))*고양시_Modal_split!C$3 * 0.01</f>
        <v>4.18433444445886E-5</v>
      </c>
      <c r="BD92" s="207">
        <f>INDEX($A$87:$H$100,MATCH($L92,$B$87:$B$100,0),MATCH($BC$86,$A$87:$H$87,0))*고양시_Modal_split!D$3 * 0.01</f>
        <v>7.028187461532151E-3</v>
      </c>
      <c r="BE92" s="207">
        <f>INDEX($A$87:$H$100,MATCH($L92,$B$87:$B$100,0),MATCH($BC$86,$A$87:$H$87,0))*고양시_Modal_split!E$3 * 0.01</f>
        <v>8.5031653532038974E-4</v>
      </c>
      <c r="BF92" s="207">
        <f>INDEX($A$87:$H$100,MATCH($L92,$B$87:$B$100,0),MATCH($BC$86,$A$87:$H$87,0))*고양시_Modal_split!F$3 * 0.01</f>
        <v>1.3703695305602767E-3</v>
      </c>
      <c r="BG92" s="207">
        <f>INDEX($A$87:$H$100,MATCH($L92,$B$87:$B$100,0),MATCH($BC$86,$A$87:$H$87,0))*고양시_Modal_split!G$3 * 0.01</f>
        <v>1.3748527460364827E-4</v>
      </c>
      <c r="BH92" s="207">
        <f>INDEX($A$87:$H$100,MATCH($L92,$B$87:$B$100,0),MATCH($BC$86,$A$87:$H$87,0))*고양시_Modal_split!H$3 * 0.01</f>
        <v>1.4944051587353073E-6</v>
      </c>
      <c r="BI92" s="207">
        <f>INDEX($A$87:$H$100,MATCH($L92,$B$87:$B$100,0),MATCH($BC$86,$A$87:$H$87,0))*고양시_Modal_split!I$3 * 0.01</f>
        <v>4.1544463412841536E-4</v>
      </c>
      <c r="BJ92" s="207">
        <f>INDEX($A$87:$H$100,MATCH($L92,$B$87:$B$100,0),MATCH($BC$86,$A$87:$H$87,0))*고양시_Modal_split!J$3 * 0.01</f>
        <v>4.5489693031902758E-3</v>
      </c>
      <c r="BK92" s="207">
        <f>INDEX($A$87:$H$100,MATCH($L92,$B$87:$B$100,0),MATCH($BC$86,$A$87:$H$87,0))*고양시_Modal_split!K$3 * 0.01</f>
        <v>2.2416077381029607E-5</v>
      </c>
      <c r="BL92" s="207">
        <f>INDEX($A$87:$H$100,MATCH($L92,$B$87:$B$100,0),MATCH($BC$86,$A$87:$H$87,0))*고양시_Modal_split!L$3 * 0.01</f>
        <v>4.5131035793806278E-4</v>
      </c>
      <c r="BM92" s="207">
        <f>INDEX($A$87:$H$100,MATCH($L92,$B$87:$B$100,0),MATCH($BC$86,$A$87:$H$87,0))*고양시_Modal_split!M$3 * 0.01</f>
        <v>3.4371318650912067E-5</v>
      </c>
      <c r="BN92" s="207">
        <f>INDEX($A$87:$H$100,MATCH($L92,$B$87:$B$100,0),MATCH($BC$86,$A$87:$H$87,0))*고양시_Modal_split!N$3 * 0.01</f>
        <v>1.4944051587353073E-5</v>
      </c>
      <c r="BO92" s="207">
        <f>INDEX($A$87:$H$100,MATCH($L92,$B$87:$B$100,0),MATCH($BC$86,$A$87:$H$87,0))*고양시_Modal_split!O$3 * 0.01</f>
        <v>2.689929285723553E-5</v>
      </c>
      <c r="BP92" s="207">
        <f>INDEX($A$87:$H$100,MATCH($L92,$B$87:$B$100,0),MATCH($BC$86,$A$87:$H$87,0))*고양시_Modal_split!P$3 * 0.01</f>
        <v>1.4944051587353074E-2</v>
      </c>
      <c r="BQ92" s="207">
        <f>INDEX($A$87:$H$100,MATCH($L92,$B$87:$B$100,0),MATCH($BQ$86,$A$87:$H$87,0))*고양시_Modal_split!C$3 * 0.01</f>
        <v>1.5807485679066851E-4</v>
      </c>
      <c r="BR92" s="207">
        <f>INDEX($A$87:$H$100,MATCH($L92,$B$87:$B$100,0),MATCH($BQ$86,$A$87:$H$87,0))*고양시_Modal_split!D$3 * 0.01</f>
        <v>2.6550930410232647E-2</v>
      </c>
      <c r="BS92" s="207">
        <f>INDEX($A$87:$H$100,MATCH($L92,$B$87:$B$100,0),MATCH($BQ$86,$A$87:$H$87,0))*고양시_Modal_split!E$3 * 0.01</f>
        <v>3.2123069112103713E-3</v>
      </c>
      <c r="BT92" s="207">
        <f>INDEX($A$87:$H$100,MATCH($L92,$B$87:$B$100,0),MATCH($BQ$86,$A$87:$H$87,0))*고양시_Modal_split!F$3 * 0.01</f>
        <v>5.1769515598943947E-3</v>
      </c>
      <c r="BU92" s="207">
        <f>INDEX($A$87:$H$100,MATCH($L92,$B$87:$B$100,0),MATCH($BQ$86,$A$87:$H$87,0))*고양시_Modal_split!G$3 * 0.01</f>
        <v>5.1938881516933944E-4</v>
      </c>
      <c r="BV92" s="207">
        <f>INDEX($A$87:$H$100,MATCH($L92,$B$87:$B$100,0),MATCH($BQ$86,$A$87:$H$87,0))*고양시_Modal_split!H$3 * 0.01</f>
        <v>5.6455305996667345E-6</v>
      </c>
      <c r="BW92" s="207">
        <f>INDEX($A$87:$H$100,MATCH($L92,$B$87:$B$100,0),MATCH($BQ$86,$A$87:$H$87,0))*고양시_Modal_split!I$3 * 0.01</f>
        <v>1.5694575067073519E-3</v>
      </c>
      <c r="BX92" s="207">
        <f>INDEX($A$87:$H$100,MATCH($L92,$B$87:$B$100,0),MATCH($BQ$86,$A$87:$H$87,0))*고양시_Modal_split!J$3 * 0.01</f>
        <v>1.7184995145385538E-2</v>
      </c>
      <c r="BY92" s="207">
        <f>INDEX($A$87:$H$100,MATCH($L92,$B$87:$B$100,0),MATCH($BQ$86,$A$87:$H$87,0))*고양시_Modal_split!K$3 * 0.01</f>
        <v>8.4682958995001005E-5</v>
      </c>
      <c r="BZ92" s="207">
        <f>INDEX($A$87:$H$100,MATCH($L92,$B$87:$B$100,0),MATCH($BQ$86,$A$87:$H$87,0))*고양시_Modal_split!L$3 * 0.01</f>
        <v>1.7049502410993536E-3</v>
      </c>
      <c r="CA92" s="207">
        <f>INDEX($A$87:$H$100,MATCH($L92,$B$87:$B$100,0),MATCH($BQ$86,$A$87:$H$87,0))*고양시_Modal_split!M$3 * 0.01</f>
        <v>1.2984720379233486E-4</v>
      </c>
      <c r="CB92" s="207">
        <f>INDEX($A$87:$H$100,MATCH($L92,$B$87:$B$100,0),MATCH($BQ$86,$A$87:$H$87,0))*고양시_Modal_split!N$3 * 0.01</f>
        <v>5.6455305996667343E-5</v>
      </c>
      <c r="CC92" s="207">
        <f>INDEX($A$87:$H$100,MATCH($L92,$B$87:$B$100,0),MATCH($BQ$86,$A$87:$H$87,0))*고양시_Modal_split!O$3 * 0.01</f>
        <v>1.0161955079400121E-4</v>
      </c>
      <c r="CD92" s="207">
        <f>INDEX($A$87:$H$100,MATCH($L92,$B$87:$B$100,0),MATCH($BQ$86,$A$87:$H$87,0))*고양시_Modal_split!P$3 * 0.01</f>
        <v>5.6455305996667343E-2</v>
      </c>
      <c r="CE92" s="304">
        <f t="shared" si="69"/>
        <v>0.5550938074019145</v>
      </c>
      <c r="CF92" s="304">
        <f t="shared" si="51"/>
        <v>93.235934864685873</v>
      </c>
      <c r="CG92" s="304">
        <f t="shared" si="52"/>
        <v>11.280299157560334</v>
      </c>
      <c r="CH92" s="304">
        <f t="shared" si="53"/>
        <v>18.179322192412698</v>
      </c>
      <c r="CI92" s="304">
        <f t="shared" si="54"/>
        <v>1.8238796528920049</v>
      </c>
      <c r="CJ92" s="304">
        <f t="shared" si="55"/>
        <v>1.9824778835782663E-2</v>
      </c>
      <c r="CK92" s="304">
        <f t="shared" si="56"/>
        <v>5.5112885163475793</v>
      </c>
      <c r="CL92" s="304">
        <f t="shared" si="57"/>
        <v>60.346626776122427</v>
      </c>
      <c r="CM92" s="304">
        <f t="shared" si="58"/>
        <v>0.29737168253673996</v>
      </c>
      <c r="CN92" s="304">
        <f t="shared" si="59"/>
        <v>5.9870832084063652</v>
      </c>
      <c r="CO92" s="304">
        <f t="shared" si="60"/>
        <v>0.45596991322300123</v>
      </c>
      <c r="CP92" s="304">
        <f t="shared" si="61"/>
        <v>0.19824778835782661</v>
      </c>
      <c r="CQ92" s="304">
        <f t="shared" si="62"/>
        <v>0.35684601904408797</v>
      </c>
      <c r="CR92" s="304">
        <f t="shared" si="63"/>
        <v>198.24778835782666</v>
      </c>
      <c r="CS92" s="305">
        <f t="shared" si="70"/>
        <v>0</v>
      </c>
      <c r="CV92" s="265" t="s">
        <v>12</v>
      </c>
      <c r="CW92" s="265" t="s">
        <v>12</v>
      </c>
      <c r="CX92" s="267">
        <f>INDEX($M$86:$Z$100,MATCH($CW92,$L$86:$L$100,0),MATCH(CX$87,$M$87:$Z$87,0))/INDEX(고양시_재차인원!$D$4:$H$35,MATCH("고양시",고양시_재차인원!$B$4:$B$35,0),MATCH($CX$86,고양시_재차인원!$D$4:$H$4,0))</f>
        <v>9.617739865513359</v>
      </c>
      <c r="CY92" s="267">
        <f>INDEX($M$86:$Z$100,MATCH($CW92,$L$86:$L$100,0),MATCH(CY$87,$M$87:$Z$87,0))/INDEX(고양시_재차인원!$K$4:$O$20,MATCH("경기도",고양시_재차인원!$K$4:$K$20,0),MATCH($CY$87,고양시_재차인원!$K$4:$O$4,0))</f>
        <v>7.9556268610222981E-5</v>
      </c>
      <c r="CZ92" s="267">
        <f>INDEX($M$86:$Z$100,MATCH($CW92,$L$86:$L$100,0),MATCH(CZ$87,$M$87:$Z$87,0))/INDEX(고양시_재차인원!$K$4:$O$20,MATCH("경기도",고양시_재차인원!$K$4:$K$20,0),MATCH($CZ$87,고양시_재차인원!$K$4:$O$4,0))</f>
        <v>2.2116642673641981E-2</v>
      </c>
      <c r="DA92" s="267">
        <f>INDEX($M$86:$Z$100,MATCH($CW92,$L$86:$L$100,0),MATCH(DA$87,$M$87:$Z$87,0))/INDEX(고양시_재차인원!$D$4:$H$35,MATCH("고양시",고양시_재차인원!$B$4:$B$35,0),MATCH($CX$86,고양시_재차인원!$D$4:$H$4,0))</f>
        <v>0.61759673386881464</v>
      </c>
      <c r="DB92" s="267">
        <f>INDEX($AA$86:$AN$100,MATCH($CW92,$L$86:$L$100,0),MATCH(DB$87,$AA$87:$AN$87,0))/INDEX(고양시_재차인원!$D$4:$H$35,MATCH("고양시",고양시_재차인원!$B$4:$B$35,0),MATCH($DB$86,고양시_재차인원!$D$4:$H$4,0))</f>
        <v>55.289515704078603</v>
      </c>
      <c r="DC92" s="267">
        <f>INDEX($AA$86:$AN$100,MATCH($CW92,$L$86:$L$100,0),MATCH(DC$87,$AA$87:$AN$87,0))/INDEX(고양시_재차인원!$K$4:$O$20,MATCH("경기도",고양시_재차인원!$K$4:$K$20,0),MATCH(DC$87,고양시_재차인원!$K$4:$O$4,0))</f>
        <v>5.7576499168903686E-4</v>
      </c>
      <c r="DD92" s="267">
        <f>INDEX($AA$86:$AN$100,MATCH($CW92,$L$86:$L$100,0),MATCH(DD$87,$AA$87:$AN$87,0))/INDEX(고양시_재차인원!$K$4:$O$20,MATCH("경기도",고양시_재차인원!$K$4:$K$20,0),MATCH(DD$87,고양시_재차인원!$K$4:$O$4,0))</f>
        <v>0.16006266768955224</v>
      </c>
      <c r="DE92" s="267">
        <f>INDEX($AA$86:$AN$100,MATCH($CW92,$L$86:$L$100,0),MATCH(DE$87,$AA$87:$AN$87,0))/INDEX(고양시_재차인원!$D$4:$H$35,MATCH("고양시",고양시_재차인원!$B$4:$B$35,0),MATCH($DB$86,고양시_재차인원!$D$4:$H$4,0))</f>
        <v>3.5503792776167851</v>
      </c>
      <c r="DF92" s="267">
        <f>INDEX($AO$86:$BB$100,MATCH($CW92,$L$86:$L$100,0),MATCH(DF$87,$AO$87:$BB$87,0))/INDEX(고양시_재차인원!$D$4:$H$35,MATCH("고양시",고양시_재차인원!$B$4:$B$35,0),MATCH($DF$86,고양시_재차인원!$D$4:$H$4,0))</f>
        <v>3.4402076574525458</v>
      </c>
      <c r="DG92" s="267">
        <f>INDEX($AO$86:$BB$100,MATCH($CW92,$L$86:$L$100,0),MATCH(DG$87,$AO$87:$BB$87,0))/INDEX(고양시_재차인원!$K$4:$O$20,MATCH("경기도",고양시_재차인원!$K$4:$K$20,0),MATCH(DG$87,고양시_재차인원!$K$4:$O$4,0))</f>
        <v>3.3030212435170929E-5</v>
      </c>
      <c r="DH92" s="267">
        <f>INDEX($AO$86:$BB$100,MATCH($CW92,$L$86:$L$100,0),MATCH(DH$87,$AO$87:$BB$87,0))/INDEX(고양시_재차인원!$K$4:$O$20,MATCH("경기도",고양시_재차인원!$K$4:$K$20,0),MATCH(DH$87,고양시_재차인원!$K$4:$O$4,0))</f>
        <v>9.1823990569775173E-3</v>
      </c>
      <c r="DI92" s="267">
        <f>INDEX($AO$86:$BB$100,MATCH($CW92,$L$86:$L$100,0),MATCH(DI$87,$AO$87:$BB$87,0))/INDEX(고양시_재차인원!$D$4:$H$35,MATCH("고양시",고양시_재차인원!$B$4:$B$35,0),MATCH($DF$86,고양시_재차인원!$D$4:$H$4,0))</f>
        <v>0.22091063418045265</v>
      </c>
      <c r="DJ92" s="267">
        <f>INDEX($BC$86:$BP$100,MATCH($CW92,$L$86:$L$100,0),MATCH(DJ$87,$BC$87:$BP$87,0))/INDEX(고양시_재차인원!$D$4:$H$35,MATCH("고양시",고양시_재차인원!$B$4:$B$35,0),MATCH($DJ$86,고양시_재차인원!$D$4:$H$4,0))</f>
        <v>5.1677848981854044E-3</v>
      </c>
      <c r="DK92" s="267">
        <f>INDEX($BC$86:$BP$100,MATCH($CW92,$L$86:$L$100,0),MATCH(DK$87,$BC$87:$BP$87,0))/INDEX(고양시_재차인원!$K$4:$O$20,MATCH("경기도",고양시_재차인원!$K$4:$K$20,0),MATCH(DK$87,고양시_재차인원!$K$4:$O$4,0))</f>
        <v>5.1907091307235409E-8</v>
      </c>
      <c r="DL92" s="267">
        <f>INDEX($BC$86:$BP$100,MATCH($CW92,$L$86:$L$100,0),MATCH(DL$87,$BC$87:$BP$87,0))/INDEX(고양시_재차인원!$K$4:$O$20,MATCH("경기도",고양시_재차인원!$K$4:$K$20,0),MATCH(DL$87,고양시_재차인원!$K$4:$O$4,0))</f>
        <v>1.4430171383411441E-5</v>
      </c>
      <c r="DM92" s="267">
        <f>INDEX($BC$86:$BP$100,MATCH($CW92,$L$86:$L$100,0),MATCH(DM$87,$BC$87:$BP$87,0))/INDEX(고양시_재차인원!$D$4:$H$35,MATCH("고양시",고양시_재차인원!$B$4:$B$35,0),MATCH($DJ$86,고양시_재차인원!$D$4:$H$4,0))</f>
        <v>3.3184585142504613E-4</v>
      </c>
      <c r="DN92" s="267">
        <f>INDEX($BQ$86:$CD$100,MATCH($CW92,$L$86:$L$100,0),MATCH(DN$87,$BQ$87:$CD$87,0))/INDEX(고양시_재차인원!$D$4:$H$35,MATCH("고양시",고양시_재차인원!$B$4:$B$35,0),MATCH($DN$86,고양시_재차인원!$D$4:$H$4,0))</f>
        <v>2.1072166992248131E-2</v>
      </c>
      <c r="DO92" s="267">
        <f>INDEX($BQ$86:$CD$100,MATCH($CW92,$L$86:$L$100,0),MATCH(DO$87,$BQ$87:$CD$87,0))/INDEX(고양시_재차인원!$K$4:$O$20,MATCH("경기도",고양시_재차인원!$K$4:$K$20,0),MATCH(DO$87,고양시_재차인원!$K$4:$O$4,0))</f>
        <v>1.9609345604955661E-7</v>
      </c>
      <c r="DP92" s="267">
        <f>INDEX($BQ$86:$CD$100,MATCH($CW92,$L$86:$L$100,0),MATCH(DP$87,$BQ$87:$CD$87,0))/INDEX(고양시_재차인원!$K$4:$O$20,MATCH("경기도",고양시_재차인원!$K$4:$K$20,0),MATCH(DP$87,고양시_재차인원!$K$4:$O$4,0))</f>
        <v>5.4513980781776728E-5</v>
      </c>
      <c r="DQ92" s="267">
        <f>INDEX($BQ$86:$CD$100,MATCH($CW92,$L$86:$L$100,0),MATCH(DQ$87,$BQ$87:$CD$87,0))/INDEX(고양시_재차인원!$D$4:$H$35,MATCH("고양시",고양시_재차인원!$B$4:$B$35,0),MATCH($DN$86,고양시_재차인원!$D$4:$H$4,0))</f>
        <v>1.3531351119836139E-3</v>
      </c>
      <c r="DR92" s="270">
        <f t="shared" si="71"/>
        <v>68.37370317893496</v>
      </c>
      <c r="DS92" s="270">
        <f t="shared" si="64"/>
        <v>6.8859947328178759E-4</v>
      </c>
      <c r="DT92" s="270">
        <f t="shared" si="65"/>
        <v>0.19143065357233693</v>
      </c>
      <c r="DU92" s="270">
        <f t="shared" si="66"/>
        <v>4.3905716266294617</v>
      </c>
      <c r="DW92" s="278" t="s">
        <v>12</v>
      </c>
      <c r="DX92" s="278" t="s">
        <v>12</v>
      </c>
      <c r="DY92" s="281">
        <f t="shared" si="72"/>
        <v>72.764274805564426</v>
      </c>
      <c r="DZ92" s="281">
        <f t="shared" si="73"/>
        <v>0.19211925304561872</v>
      </c>
      <c r="EB92" s="278" t="s">
        <v>12</v>
      </c>
      <c r="EC92" s="278" t="s">
        <v>12</v>
      </c>
      <c r="ED92" s="281">
        <f>DY92</f>
        <v>72.764274805564426</v>
      </c>
      <c r="EE92" s="281">
        <f t="shared" ref="EE92:EE93" si="78">DZ92</f>
        <v>0.19211925304561872</v>
      </c>
      <c r="EK92" s="420" t="s">
        <v>622</v>
      </c>
      <c r="EL92" s="420" t="s">
        <v>639</v>
      </c>
      <c r="EM92" s="420" t="s">
        <v>220</v>
      </c>
      <c r="EN92" s="420">
        <v>31514.0893</v>
      </c>
      <c r="EO92" s="420">
        <v>1</v>
      </c>
      <c r="EP92" s="421">
        <v>849005</v>
      </c>
      <c r="EQ92" s="422">
        <f t="shared" si="75"/>
        <v>656.68383025206845</v>
      </c>
      <c r="ER92" s="422">
        <f t="shared" si="76"/>
        <v>1.7338399550092884</v>
      </c>
      <c r="ES92">
        <v>0</v>
      </c>
      <c r="EU92" s="306" t="s">
        <v>622</v>
      </c>
      <c r="EV92" s="306" t="s">
        <v>200</v>
      </c>
      <c r="EW92" s="306" t="s">
        <v>220</v>
      </c>
      <c r="EX92" s="306">
        <v>31514.0893</v>
      </c>
      <c r="EY92" s="306">
        <v>1</v>
      </c>
      <c r="EZ92" s="307">
        <v>849005</v>
      </c>
      <c r="FA92" s="308">
        <f t="shared" si="77"/>
        <v>656.68383025206845</v>
      </c>
      <c r="FB92" s="308">
        <f t="shared" si="68"/>
        <v>1.7338399550092884</v>
      </c>
      <c r="FD92" s="101"/>
      <c r="FE92" s="101"/>
      <c r="FF92" s="101"/>
      <c r="FG92" s="101"/>
      <c r="FH92" s="101"/>
      <c r="FI92" s="374"/>
      <c r="FJ92" s="404"/>
      <c r="FK92" s="404"/>
    </row>
    <row r="93" spans="1:167" ht="25">
      <c r="A93" s="205" t="s">
        <v>13</v>
      </c>
      <c r="B93" s="205" t="s">
        <v>13</v>
      </c>
      <c r="C93" s="201">
        <f>$K34*KTDB_TripDistribution_2035!T$12</f>
        <v>34.04260478770626</v>
      </c>
      <c r="D93" s="201">
        <f>$K34*KTDB_TripDistribution_2035!U$12</f>
        <v>246.37329534266516</v>
      </c>
      <c r="E93" s="201">
        <f>$K34*KTDB_TripDistribution_2035!V$12</f>
        <v>14.13382612869321</v>
      </c>
      <c r="F93" s="201">
        <f>$K34*KTDB_TripDistribution_2035!W$12</f>
        <v>2.2211355885845708E-2</v>
      </c>
      <c r="G93" s="201">
        <f>$K34*KTDB_TripDistribution_2035!X$12</f>
        <v>8.3909566679861824E-2</v>
      </c>
      <c r="H93" s="201">
        <f>$K34*KTDB_TripDistribution_2035!Y$12</f>
        <v>294.65584718163035</v>
      </c>
      <c r="K93" s="206" t="s">
        <v>13</v>
      </c>
      <c r="L93" s="206" t="s">
        <v>13</v>
      </c>
      <c r="M93" s="206">
        <f>INDEX($A$87:$H$100,MATCH($L93,$B$87:$B$100,0),MATCH($M$86,$A$87:$H$87,0))*고양시_Modal_split!C$3 * 0.01</f>
        <v>9.5319293405577529E-2</v>
      </c>
      <c r="N93" s="206">
        <f>INDEX($A$87:$H$100,MATCH($L93,$B$87:$B$100,0),MATCH($M$86,$A$87:$H$87,0))*고양시_Modal_split!D$3 * 0.01</f>
        <v>16.010237031658257</v>
      </c>
      <c r="O93" s="206">
        <f>INDEX($A$87:$H$100,MATCH($L93,$B$87:$B$100,0),MATCH($M$86,$A$87:$H$87,0))*고양시_Modal_split!E$3 * 0.01</f>
        <v>1.9370242124204862</v>
      </c>
      <c r="P93" s="206">
        <f>INDEX($A$87:$H$100,MATCH($L93,$B$87:$B$100,0),MATCH($M$86,$A$87:$H$87,0))*고양시_Modal_split!F$3 * 0.01</f>
        <v>3.1217068590326642</v>
      </c>
      <c r="Q93" s="206">
        <f>INDEX($A$87:$H$100,MATCH($L93,$B$87:$B$100,0),MATCH($M$86,$A$87:$H$87,0))*고양시_Modal_split!G$3 * 0.01</f>
        <v>0.31319196404689759</v>
      </c>
      <c r="R93" s="206">
        <f>INDEX($A$87:$H$100,MATCH($L93,$B$87:$B$100,0),MATCH($M$86,$A$87:$H$87,0))*고양시_Modal_split!H$3 * 0.01</f>
        <v>3.4042604787706261E-3</v>
      </c>
      <c r="S93" s="206">
        <f>INDEX($A$87:$H$100,MATCH($L93,$B$87:$B$100,0),MATCH($M$86,$A$87:$H$87,0))*고양시_Modal_split!I$3 * 0.01</f>
        <v>0.94638441309823396</v>
      </c>
      <c r="T93" s="206">
        <f>INDEX($A$87:$H$100,MATCH($L93,$B$87:$B$100,0),MATCH($M$86,$A$87:$H$87,0))*고양시_Modal_split!J$3 * 0.01</f>
        <v>10.362568897377788</v>
      </c>
      <c r="U93" s="206">
        <f>INDEX($A$87:$H$100,MATCH($L93,$B$87:$B$100,0),MATCH($M$86,$A$87:$H$87,0))*고양시_Modal_split!K$3 * 0.01</f>
        <v>5.1063907181559384E-2</v>
      </c>
      <c r="V93" s="206">
        <f>INDEX($A$87:$H$100,MATCH($L93,$B$87:$B$100,0),MATCH($M$86,$A$87:$H$87,0))*고양시_Modal_split!L$3 * 0.01</f>
        <v>1.028086664588729</v>
      </c>
      <c r="W93" s="206">
        <f>INDEX($A$87:$H$100,MATCH($L93,$B$87:$B$100,0),MATCH($M$86,$A$87:$H$87,0))*고양시_Modal_split!M$3 * 0.01</f>
        <v>7.8297991011724397E-2</v>
      </c>
      <c r="X93" s="206">
        <f>INDEX($A$87:$H$100,MATCH($L93,$B$87:$B$100,0),MATCH($M$86,$A$87:$H$87,0))*고양시_Modal_split!N$3 * 0.01</f>
        <v>3.4042604787706258E-2</v>
      </c>
      <c r="Y93" s="206">
        <f>INDEX($A$87:$H$100,MATCH($L93,$B$87:$B$100,0),MATCH($M$86,$A$87:$H$87,0))*고양시_Modal_split!O$3 * 0.01</f>
        <v>6.1276688617871271E-2</v>
      </c>
      <c r="Z93" s="209">
        <f>INDEX($A$87:$H$100,MATCH($L93,$B$87:$B$100,0),MATCH($M$86,$A$87:$H$87,0))*고양시_Modal_split!P$3 * 0.01</f>
        <v>34.04260478770626</v>
      </c>
      <c r="AA93" s="207">
        <f>INDEX($A$87:$H$100,MATCH($L93,$B$87:$B$100,0),MATCH($AA$86,$A$87:$H$87,0))*고양시_Modal_split!C$3 * 0.01</f>
        <v>0.68984522695946238</v>
      </c>
      <c r="AB93" s="207">
        <f>INDEX($A$87:$H$100,MATCH($L93,$B$87:$B$100,0),MATCH($AA$86,$A$87:$H$87,0))*고양시_Modal_split!D$3 * 0.01</f>
        <v>115.86936079965542</v>
      </c>
      <c r="AC93" s="207">
        <f>INDEX($A$87:$H$100,MATCH($L93,$B$87:$B$100,0),MATCH($AA$86,$A$87:$H$87,0))*고양시_Modal_split!E$3 * 0.01</f>
        <v>14.018640504997649</v>
      </c>
      <c r="AD93" s="207">
        <f>INDEX($A$87:$H$100,MATCH($L93,$B$87:$B$100,0),MATCH($AA$86,$A$87:$H$87,0))*고양시_Modal_split!F$3 * 0.01</f>
        <v>22.592431182922397</v>
      </c>
      <c r="AE93" s="207">
        <f>INDEX($A$87:$H$100,MATCH($L93,$B$87:$B$100,0),MATCH($AA$86,$A$87:$H$87,0))*고양시_Modal_split!G$3 * 0.01</f>
        <v>2.2666343171525192</v>
      </c>
      <c r="AF93" s="207">
        <f>INDEX($A$87:$H$100,MATCH($L93,$B$87:$B$100,0),MATCH($AA$86,$A$87:$H$87,0))*고양시_Modal_split!H$3 * 0.01</f>
        <v>2.4637329534266516E-2</v>
      </c>
      <c r="AG93" s="207">
        <f>INDEX($A$87:$H$100,MATCH($L93,$B$87:$B$100,0),MATCH($AA$86,$A$87:$H$87,0))*고양시_Modal_split!I$3 * 0.01</f>
        <v>6.8491776105260911</v>
      </c>
      <c r="AH93" s="207">
        <f>INDEX($A$87:$H$100,MATCH($L93,$B$87:$B$100,0),MATCH($AA$86,$A$87:$H$87,0))*고양시_Modal_split!J$3 * 0.01</f>
        <v>74.996031102307285</v>
      </c>
      <c r="AI93" s="207">
        <f>INDEX($A$87:$H$100,MATCH($L93,$B$87:$B$100,0),MATCH($AA$86,$A$87:$H$87,0))*고양시_Modal_split!K$3 * 0.01</f>
        <v>0.36955994301399769</v>
      </c>
      <c r="AJ93" s="207">
        <f>INDEX($A$87:$H$100,MATCH($L93,$B$87:$B$100,0),MATCH($AA$86,$A$87:$H$87,0))*고양시_Modal_split!L$3 * 0.01</f>
        <v>7.4404735193484877</v>
      </c>
      <c r="AK93" s="207">
        <f>INDEX($A$87:$H$100,MATCH($L93,$B$87:$B$100,0),MATCH($AA$86,$A$87:$H$87,0))*고양시_Modal_split!M$3 * 0.01</f>
        <v>0.56665857928812979</v>
      </c>
      <c r="AL93" s="207">
        <f>INDEX($A$87:$H$100,MATCH($L93,$B$87:$B$100,0),MATCH($AA$86,$A$87:$H$87,0))*고양시_Modal_split!N$3 * 0.01</f>
        <v>0.24637329534266517</v>
      </c>
      <c r="AM93" s="207">
        <f>INDEX($A$87:$H$100,MATCH($L93,$B$87:$B$100,0),MATCH($AA$86,$A$87:$H$87,0))*고양시_Modal_split!O$3 * 0.01</f>
        <v>0.44347193161679727</v>
      </c>
      <c r="AN93" s="207">
        <f>INDEX($A$87:$H$100,MATCH($L93,$B$87:$B$100,0),MATCH($AA$86,$A$87:$H$87,0))*고양시_Modal_split!P$3 * 0.01</f>
        <v>246.37329534266516</v>
      </c>
      <c r="AO93" s="303">
        <f>INDEX($A$87:$H$100,MATCH($L93,$B$87:$B$100,0),MATCH($AO$86,$A$87:$H$87,0))*고양시_Modal_split!C$3 * 0.01</f>
        <v>3.9574713160340988E-2</v>
      </c>
      <c r="AP93" s="303">
        <f>INDEX($A$87:$H$100,MATCH($L93,$B$87:$B$100,0),MATCH($AO$86,$A$87:$H$87,0))*고양시_Modal_split!D$3 * 0.01</f>
        <v>6.6471384283244168</v>
      </c>
      <c r="AQ93" s="303">
        <f>INDEX($A$87:$H$100,MATCH($L93,$B$87:$B$100,0),MATCH($AO$86,$A$87:$H$87,0))*고양시_Modal_split!E$3 * 0.01</f>
        <v>0.80421470672264361</v>
      </c>
      <c r="AR93" s="303">
        <f>INDEX($A$87:$H$100,MATCH($L93,$B$87:$B$100,0),MATCH($AO$86,$A$87:$H$87,0))*고양시_Modal_split!F$3 * 0.01</f>
        <v>1.2960718560011675</v>
      </c>
      <c r="AS93" s="303">
        <f>INDEX($A$87:$H$100,MATCH($L93,$B$87:$B$100,0),MATCH($AO$86,$A$87:$H$87,0))*고양시_Modal_split!G$3 * 0.01</f>
        <v>0.13003120038397753</v>
      </c>
      <c r="AT93" s="303">
        <f>INDEX($A$87:$H$100,MATCH($L93,$B$87:$B$100,0),MATCH($AO$86,$A$87:$H$87,0))*고양시_Modal_split!H$3 * 0.01</f>
        <v>1.4133826128693212E-3</v>
      </c>
      <c r="AU93" s="303">
        <f>INDEX($A$87:$H$100,MATCH($L93,$B$87:$B$100,0),MATCH($AO$86,$A$87:$H$87,0))*고양시_Modal_split!I$3 * 0.01</f>
        <v>0.39292036637767119</v>
      </c>
      <c r="AV93" s="303">
        <f>INDEX($A$87:$H$100,MATCH($L93,$B$87:$B$100,0),MATCH($AO$86,$A$87:$H$87,0))*고양시_Modal_split!J$3 * 0.01</f>
        <v>4.3023366735742137</v>
      </c>
      <c r="AW93" s="303">
        <f>INDEX($A$87:$H$100,MATCH($L93,$B$87:$B$100,0),MATCH($AO$86,$A$87:$H$87,0))*고양시_Modal_split!K$3 * 0.01</f>
        <v>2.1200739193039816E-2</v>
      </c>
      <c r="AX93" s="303">
        <f>INDEX($A$87:$H$100,MATCH($L93,$B$87:$B$100,0),MATCH($AO$86,$A$87:$H$87,0))*고양시_Modal_split!L$3 * 0.01</f>
        <v>0.42684154908653499</v>
      </c>
      <c r="AY93" s="303">
        <f>INDEX($A$87:$H$100,MATCH($L93,$B$87:$B$100,0),MATCH($AO$86,$A$87:$H$87,0))*고양시_Modal_split!M$3 * 0.01</f>
        <v>3.2507800095994382E-2</v>
      </c>
      <c r="AZ93" s="303">
        <f>INDEX($A$87:$H$100,MATCH($L93,$B$87:$B$100,0),MATCH($AO$86,$A$87:$H$87,0))*고양시_Modal_split!N$3 * 0.01</f>
        <v>1.4133826128693211E-2</v>
      </c>
      <c r="BA93" s="207">
        <f>INDEX($A$87:$H$100,MATCH($L93,$B$87:$B$100,0),MATCH($AO$86,$A$87:$H$87,0))*고양시_Modal_split!O$3 * 0.01</f>
        <v>2.544088703164778E-2</v>
      </c>
      <c r="BB93" s="207">
        <f>INDEX($A$87:$H$100,MATCH($L93,$B$87:$B$100,0),MATCH($AO$86,$A$87:$H$87,0))*고양시_Modal_split!P$3 * 0.01</f>
        <v>14.133826128693212</v>
      </c>
      <c r="BC93" s="207">
        <f>INDEX($A$87:$H$100,MATCH($L93,$B$87:$B$100,0),MATCH($BC$86,$A$87:$H$87,0))*고양시_Modal_split!C$3 * 0.01</f>
        <v>6.2191796480367975E-5</v>
      </c>
      <c r="BD93" s="207">
        <f>INDEX($A$87:$H$100,MATCH($L93,$B$87:$B$100,0),MATCH($BC$86,$A$87:$H$87,0))*고양시_Modal_split!D$3 * 0.01</f>
        <v>1.0446000673113236E-2</v>
      </c>
      <c r="BE93" s="207">
        <f>INDEX($A$87:$H$100,MATCH($L93,$B$87:$B$100,0),MATCH($BC$86,$A$87:$H$87,0))*고양시_Modal_split!E$3 * 0.01</f>
        <v>1.2638261499046208E-3</v>
      </c>
      <c r="BF93" s="207">
        <f>INDEX($A$87:$H$100,MATCH($L93,$B$87:$B$100,0),MATCH($BC$86,$A$87:$H$87,0))*고양시_Modal_split!F$3 * 0.01</f>
        <v>2.0367813347320516E-3</v>
      </c>
      <c r="BG93" s="207">
        <f>INDEX($A$87:$H$100,MATCH($L93,$B$87:$B$100,0),MATCH($BC$86,$A$87:$H$87,0))*고양시_Modal_split!G$3 * 0.01</f>
        <v>2.0434447414978049E-4</v>
      </c>
      <c r="BH93" s="207">
        <f>INDEX($A$87:$H$100,MATCH($L93,$B$87:$B$100,0),MATCH($BC$86,$A$87:$H$87,0))*고양시_Modal_split!H$3 * 0.01</f>
        <v>2.221135588584571E-6</v>
      </c>
      <c r="BI93" s="207">
        <f>INDEX($A$87:$H$100,MATCH($L93,$B$87:$B$100,0),MATCH($BC$86,$A$87:$H$87,0))*고양시_Modal_split!I$3 * 0.01</f>
        <v>6.1747569362651065E-4</v>
      </c>
      <c r="BJ93" s="207">
        <f>INDEX($A$87:$H$100,MATCH($L93,$B$87:$B$100,0),MATCH($BC$86,$A$87:$H$87,0))*고양시_Modal_split!J$3 * 0.01</f>
        <v>6.7611367316514339E-3</v>
      </c>
      <c r="BK93" s="207">
        <f>INDEX($A$87:$H$100,MATCH($L93,$B$87:$B$100,0),MATCH($BC$86,$A$87:$H$87,0))*고양시_Modal_split!K$3 * 0.01</f>
        <v>3.3317033828768562E-5</v>
      </c>
      <c r="BL93" s="207">
        <f>INDEX($A$87:$H$100,MATCH($L93,$B$87:$B$100,0),MATCH($BC$86,$A$87:$H$87,0))*고양시_Modal_split!L$3 * 0.01</f>
        <v>6.7078294775254038E-4</v>
      </c>
      <c r="BM93" s="207">
        <f>INDEX($A$87:$H$100,MATCH($L93,$B$87:$B$100,0),MATCH($BC$86,$A$87:$H$87,0))*고양시_Modal_split!M$3 * 0.01</f>
        <v>5.1086118537445124E-5</v>
      </c>
      <c r="BN93" s="207">
        <f>INDEX($A$87:$H$100,MATCH($L93,$B$87:$B$100,0),MATCH($BC$86,$A$87:$H$87,0))*고양시_Modal_split!N$3 * 0.01</f>
        <v>2.2211355885845707E-5</v>
      </c>
      <c r="BO93" s="207">
        <f>INDEX($A$87:$H$100,MATCH($L93,$B$87:$B$100,0),MATCH($BC$86,$A$87:$H$87,0))*고양시_Modal_split!O$3 * 0.01</f>
        <v>3.9980440594522272E-5</v>
      </c>
      <c r="BP93" s="207">
        <f>INDEX($A$87:$H$100,MATCH($L93,$B$87:$B$100,0),MATCH($BC$86,$A$87:$H$87,0))*고양시_Modal_split!P$3 * 0.01</f>
        <v>2.2211355885845708E-2</v>
      </c>
      <c r="BQ93" s="207">
        <f>INDEX($A$87:$H$100,MATCH($L93,$B$87:$B$100,0),MATCH($BQ$86,$A$87:$H$87,0))*고양시_Modal_split!C$3 * 0.01</f>
        <v>2.349467867036131E-4</v>
      </c>
      <c r="BR93" s="207">
        <f>INDEX($A$87:$H$100,MATCH($L93,$B$87:$B$100,0),MATCH($BQ$86,$A$87:$H$87,0))*고양시_Modal_split!D$3 * 0.01</f>
        <v>3.9462669209539017E-2</v>
      </c>
      <c r="BS93" s="207">
        <f>INDEX($A$87:$H$100,MATCH($L93,$B$87:$B$100,0),MATCH($BQ$86,$A$87:$H$87,0))*고양시_Modal_split!E$3 * 0.01</f>
        <v>4.7744543440841379E-3</v>
      </c>
      <c r="BT93" s="207">
        <f>INDEX($A$87:$H$100,MATCH($L93,$B$87:$B$100,0),MATCH($BQ$86,$A$87:$H$87,0))*고양시_Modal_split!F$3 * 0.01</f>
        <v>7.6945072645433288E-3</v>
      </c>
      <c r="BU93" s="207">
        <f>INDEX($A$87:$H$100,MATCH($L93,$B$87:$B$100,0),MATCH($BQ$86,$A$87:$H$87,0))*고양시_Modal_split!G$3 * 0.01</f>
        <v>7.719680134547287E-4</v>
      </c>
      <c r="BV93" s="207">
        <f>INDEX($A$87:$H$100,MATCH($L93,$B$87:$B$100,0),MATCH($BQ$86,$A$87:$H$87,0))*고양시_Modal_split!H$3 * 0.01</f>
        <v>8.3909566679861821E-6</v>
      </c>
      <c r="BW93" s="207">
        <f>INDEX($A$87:$H$100,MATCH($L93,$B$87:$B$100,0),MATCH($BQ$86,$A$87:$H$87,0))*고양시_Modal_split!I$3 * 0.01</f>
        <v>2.3326859537001585E-3</v>
      </c>
      <c r="BX93" s="207">
        <f>INDEX($A$87:$H$100,MATCH($L93,$B$87:$B$100,0),MATCH($BQ$86,$A$87:$H$87,0))*고양시_Modal_split!J$3 * 0.01</f>
        <v>2.5542072097349943E-2</v>
      </c>
      <c r="BY93" s="207">
        <f>INDEX($A$87:$H$100,MATCH($L93,$B$87:$B$100,0),MATCH($BQ$86,$A$87:$H$87,0))*고양시_Modal_split!K$3 * 0.01</f>
        <v>1.2586435001979272E-4</v>
      </c>
      <c r="BZ93" s="207">
        <f>INDEX($A$87:$H$100,MATCH($L93,$B$87:$B$100,0),MATCH($BQ$86,$A$87:$H$87,0))*고양시_Modal_split!L$3 * 0.01</f>
        <v>2.5340689137318272E-3</v>
      </c>
      <c r="CA93" s="207">
        <f>INDEX($A$87:$H$100,MATCH($L93,$B$87:$B$100,0),MATCH($BQ$86,$A$87:$H$87,0))*고양시_Modal_split!M$3 * 0.01</f>
        <v>1.9299200336368217E-4</v>
      </c>
      <c r="CB93" s="207">
        <f>INDEX($A$87:$H$100,MATCH($L93,$B$87:$B$100,0),MATCH($BQ$86,$A$87:$H$87,0))*고양시_Modal_split!N$3 * 0.01</f>
        <v>8.3909566679861834E-5</v>
      </c>
      <c r="CC93" s="207">
        <f>INDEX($A$87:$H$100,MATCH($L93,$B$87:$B$100,0),MATCH($BQ$86,$A$87:$H$87,0))*고양시_Modal_split!O$3 * 0.01</f>
        <v>1.5103722002375128E-4</v>
      </c>
      <c r="CD93" s="207">
        <f>INDEX($A$87:$H$100,MATCH($L93,$B$87:$B$100,0),MATCH($BQ$86,$A$87:$H$87,0))*고양시_Modal_split!P$3 * 0.01</f>
        <v>8.3909566679861824E-2</v>
      </c>
      <c r="CE93" s="304">
        <f t="shared" si="69"/>
        <v>0.82503637210856495</v>
      </c>
      <c r="CF93" s="304">
        <f t="shared" si="51"/>
        <v>138.57664492952074</v>
      </c>
      <c r="CG93" s="304">
        <f t="shared" si="52"/>
        <v>16.765917704634766</v>
      </c>
      <c r="CH93" s="304">
        <f t="shared" si="53"/>
        <v>27.019941186555499</v>
      </c>
      <c r="CI93" s="304">
        <f t="shared" si="54"/>
        <v>2.7108337940709988</v>
      </c>
      <c r="CJ93" s="304">
        <f t="shared" si="55"/>
        <v>2.9465584718163036E-2</v>
      </c>
      <c r="CK93" s="304">
        <f t="shared" si="56"/>
        <v>8.1914325516493225</v>
      </c>
      <c r="CL93" s="304">
        <f t="shared" si="57"/>
        <v>89.693239882088292</v>
      </c>
      <c r="CM93" s="304">
        <f t="shared" si="58"/>
        <v>0.44198377077244544</v>
      </c>
      <c r="CN93" s="304">
        <f t="shared" si="59"/>
        <v>8.898606584885238</v>
      </c>
      <c r="CO93" s="304">
        <f t="shared" si="60"/>
        <v>0.6777084485177497</v>
      </c>
      <c r="CP93" s="304">
        <f t="shared" si="61"/>
        <v>0.29465584718163035</v>
      </c>
      <c r="CQ93" s="304">
        <f t="shared" si="62"/>
        <v>0.53038052492693455</v>
      </c>
      <c r="CR93" s="304">
        <f t="shared" si="63"/>
        <v>294.65584718163035</v>
      </c>
      <c r="CS93" s="305">
        <f t="shared" si="70"/>
        <v>0</v>
      </c>
      <c r="CV93" s="267" t="s">
        <v>13</v>
      </c>
      <c r="CW93" s="267" t="s">
        <v>13</v>
      </c>
      <c r="CX93" s="267">
        <f>INDEX($M$86:$Z$100,MATCH($CW93,$L$86:$L$100,0),MATCH(CX$87,$M$87:$Z$87,0))/INDEX(고양시_재차인원!$D$4:$H$35,MATCH("고양시",고양시_재차인원!$B$4:$B$35,0),MATCH($CX$86,고양시_재차인원!$D$4:$H$4,0))</f>
        <v>14.294854492552014</v>
      </c>
      <c r="CY93" s="267">
        <f>INDEX($M$86:$Z$100,MATCH($CW93,$L$86:$L$100,0),MATCH(CY$87,$M$87:$Z$87,0))/INDEX(고양시_재차인원!$K$4:$O$20,MATCH("경기도",고양시_재차인원!$K$4:$K$20,0),MATCH($CY$87,고양시_재차인원!$K$4:$O$4,0))</f>
        <v>1.1824454598022321E-4</v>
      </c>
      <c r="CZ93" s="267">
        <f>INDEX($M$86:$Z$100,MATCH($CW93,$L$86:$L$100,0),MATCH(CZ$87,$M$87:$Z$87,0))/INDEX(고양시_재차인원!$K$4:$O$20,MATCH("경기도",고양시_재차인원!$K$4:$K$20,0),MATCH($CZ$87,고양시_재차인원!$K$4:$O$4,0))</f>
        <v>3.287198378250205E-2</v>
      </c>
      <c r="DA93" s="267">
        <f>INDEX($M$86:$Z$100,MATCH($CW93,$L$86:$L$100,0),MATCH(DA$87,$M$87:$Z$87,0))/INDEX(고양시_재차인원!$D$4:$H$35,MATCH("고양시",고양시_재차인원!$B$4:$B$35,0),MATCH($CX$86,고양시_재차인원!$D$4:$H$4,0))</f>
        <v>0.9179345219542222</v>
      </c>
      <c r="DB93" s="267">
        <f>INDEX($AA$86:$AN$100,MATCH($CW93,$L$86:$L$100,0),MATCH(DB$87,$AA$87:$AN$87,0))/INDEX(고양시_재차인원!$D$4:$H$35,MATCH("고양시",고양시_재차인원!$B$4:$B$35,0),MATCH($DB$86,고양시_재차인원!$D$4:$H$4,0))</f>
        <v>82.176851630961295</v>
      </c>
      <c r="DC93" s="267">
        <f>INDEX($AA$86:$AN$100,MATCH($CW93,$L$86:$L$100,0),MATCH(DC$87,$AA$87:$AN$87,0))/INDEX(고양시_재차인원!$K$4:$O$20,MATCH("경기도",고양시_재차인원!$K$4:$K$20,0),MATCH(DC$87,고양시_재차인원!$K$4:$O$4,0))</f>
        <v>8.5575996992936837E-4</v>
      </c>
      <c r="DD93" s="267">
        <f>INDEX($AA$86:$AN$100,MATCH($CW93,$L$86:$L$100,0),MATCH(DD$87,$AA$87:$AN$87,0))/INDEX(고양시_재차인원!$K$4:$O$20,MATCH("경기도",고양시_재차인원!$K$4:$K$20,0),MATCH(DD$87,고양시_재차인원!$K$4:$O$4,0))</f>
        <v>0.2379012716403644</v>
      </c>
      <c r="DE93" s="267">
        <f>INDEX($AA$86:$AN$100,MATCH($CW93,$L$86:$L$100,0),MATCH(DE$87,$AA$87:$AN$87,0))/INDEX(고양시_재차인원!$D$4:$H$35,MATCH("고양시",고양시_재차인원!$B$4:$B$35,0),MATCH($DB$86,고양시_재차인원!$D$4:$H$4,0))</f>
        <v>5.2769315740060199</v>
      </c>
      <c r="DF93" s="267">
        <f>INDEX($AO$86:$BB$100,MATCH($CW93,$L$86:$L$100,0),MATCH(DF$87,$AO$87:$BB$87,0))/INDEX(고양시_재차인원!$D$4:$H$35,MATCH("고양시",고양시_재차인원!$B$4:$B$35,0),MATCH($DF$86,고양시_재차인원!$D$4:$H$4,0))</f>
        <v>5.1131834064033974</v>
      </c>
      <c r="DG93" s="267">
        <f>INDEX($AO$86:$BB$100,MATCH($CW93,$L$86:$L$100,0),MATCH(DG$87,$AO$87:$BB$87,0))/INDEX(고양시_재차인원!$K$4:$O$20,MATCH("경기도",고양시_재차인원!$K$4:$K$20,0),MATCH(DG$87,고양시_재차인원!$K$4:$O$4,0))</f>
        <v>4.9092831291049713E-5</v>
      </c>
      <c r="DH93" s="267">
        <f>INDEX($AO$86:$BB$100,MATCH($CW93,$L$86:$L$100,0),MATCH(DH$87,$AO$87:$BB$87,0))/INDEX(고양시_재차인원!$K$4:$O$20,MATCH("경기도",고양시_재차인원!$K$4:$K$20,0),MATCH(DH$87,고양시_재차인원!$K$4:$O$4,0))</f>
        <v>1.3647807098911818E-2</v>
      </c>
      <c r="DI93" s="267">
        <f>INDEX($AO$86:$BB$100,MATCH($CW93,$L$86:$L$100,0),MATCH(DI$87,$AO$87:$BB$87,0))/INDEX(고양시_재차인원!$D$4:$H$35,MATCH("고양시",고양시_재차인원!$B$4:$B$35,0),MATCH($DF$86,고양시_재차인원!$D$4:$H$4,0))</f>
        <v>0.32833965314348845</v>
      </c>
      <c r="DJ93" s="267">
        <f>INDEX($BC$86:$BP$100,MATCH($CW93,$L$86:$L$100,0),MATCH(DJ$87,$BC$87:$BP$87,0))/INDEX(고양시_재차인원!$D$4:$H$35,MATCH("고양시",고양시_재차인원!$B$4:$B$35,0),MATCH($DJ$86,고양시_재차인원!$D$4:$H$4,0))</f>
        <v>7.6808828478773785E-3</v>
      </c>
      <c r="DK93" s="267">
        <f>INDEX($BC$86:$BP$100,MATCH($CW93,$L$86:$L$100,0),MATCH(DK$87,$BC$87:$BP$87,0))/INDEX(고양시_재차인원!$K$4:$O$20,MATCH("경기도",고양시_재차인원!$K$4:$K$20,0),MATCH(DK$87,고양시_재차인원!$K$4:$O$4,0))</f>
        <v>7.714955153124596E-8</v>
      </c>
      <c r="DL93" s="267">
        <f>INDEX($BC$86:$BP$100,MATCH($CW93,$L$86:$L$100,0),MATCH(DL$87,$BC$87:$BP$87,0))/INDEX(고양시_재차인원!$K$4:$O$20,MATCH("경기도",고양시_재차인원!$K$4:$K$20,0),MATCH(DL$87,고양시_재차인원!$K$4:$O$4,0))</f>
        <v>2.1447575325686373E-5</v>
      </c>
      <c r="DM93" s="267">
        <f>INDEX($BC$86:$BP$100,MATCH($CW93,$L$86:$L$100,0),MATCH(DM$87,$BC$87:$BP$87,0))/INDEX(고양시_재차인원!$D$4:$H$35,MATCH("고양시",고양시_재차인원!$B$4:$B$35,0),MATCH($DJ$86,고양시_재차인원!$D$4:$H$4,0))</f>
        <v>4.9322275570039731E-4</v>
      </c>
      <c r="DN93" s="267">
        <f>INDEX($BQ$86:$CD$100,MATCH($CW93,$L$86:$L$100,0),MATCH(DN$87,$BQ$87:$CD$87,0))/INDEX(고양시_재차인원!$D$4:$H$35,MATCH("고양시",고양시_재차인원!$B$4:$B$35,0),MATCH($DN$86,고양시_재차인원!$D$4:$H$4,0))</f>
        <v>3.1319578737729378E-2</v>
      </c>
      <c r="DO93" s="267">
        <f>INDEX($BQ$86:$CD$100,MATCH($CW93,$L$86:$L$100,0),MATCH(DO$87,$BQ$87:$CD$87,0))/INDEX(고양시_재차인원!$K$4:$O$20,MATCH("경기도",고양시_재차인원!$K$4:$K$20,0),MATCH(DO$87,고양시_재차인원!$K$4:$O$4,0))</f>
        <v>2.9145386134026336E-7</v>
      </c>
      <c r="DP93" s="267">
        <f>INDEX($BQ$86:$CD$100,MATCH($CW93,$L$86:$L$100,0),MATCH(DP$87,$BQ$87:$CD$87,0))/INDEX(고양시_재차인원!$K$4:$O$20,MATCH("경기도",고양시_재차인원!$K$4:$K$20,0),MATCH(DP$87,고양시_재차인원!$K$4:$O$4,0))</f>
        <v>8.1024173452593206E-5</v>
      </c>
      <c r="DQ93" s="267">
        <f>INDEX($BQ$86:$CD$100,MATCH($CW93,$L$86:$L$100,0),MATCH(DQ$87,$BQ$87:$CD$87,0))/INDEX(고양시_재차인원!$D$4:$H$35,MATCH("고양시",고양시_재차인원!$B$4:$B$35,0),MATCH($DN$86,고양시_재차인원!$D$4:$H$4,0))</f>
        <v>2.0111658045490694E-3</v>
      </c>
      <c r="DR93" s="270">
        <f t="shared" si="71"/>
        <v>101.62388999150231</v>
      </c>
      <c r="DS93" s="270">
        <f t="shared" si="64"/>
        <v>1.0234659506135131E-3</v>
      </c>
      <c r="DT93" s="270">
        <f t="shared" si="65"/>
        <v>0.28452353427055654</v>
      </c>
      <c r="DU93" s="270">
        <f t="shared" si="66"/>
        <v>6.5257101376639799</v>
      </c>
      <c r="DW93" s="278" t="s">
        <v>13</v>
      </c>
      <c r="DX93" s="278" t="s">
        <v>13</v>
      </c>
      <c r="DY93" s="281">
        <f t="shared" si="72"/>
        <v>108.14960012916629</v>
      </c>
      <c r="DZ93" s="281">
        <f t="shared" si="73"/>
        <v>0.28554700022117008</v>
      </c>
      <c r="EB93" s="278" t="s">
        <v>13</v>
      </c>
      <c r="EC93" s="278" t="s">
        <v>13</v>
      </c>
      <c r="ED93" s="281">
        <f t="shared" ref="ED93" si="79">DY93</f>
        <v>108.14960012916629</v>
      </c>
      <c r="EE93" s="281">
        <f t="shared" si="78"/>
        <v>0.28554700022117008</v>
      </c>
      <c r="EK93" s="420" t="s">
        <v>622</v>
      </c>
      <c r="EL93" s="420" t="s">
        <v>640</v>
      </c>
      <c r="EM93" s="420" t="s">
        <v>221</v>
      </c>
      <c r="EN93" s="420">
        <v>32098.9882</v>
      </c>
      <c r="EO93" s="420">
        <v>1</v>
      </c>
      <c r="EP93" s="421">
        <v>849006</v>
      </c>
      <c r="EQ93" s="422">
        <f t="shared" si="75"/>
        <v>669.50794965900366</v>
      </c>
      <c r="ER93" s="422">
        <f t="shared" si="76"/>
        <v>1.767699431352751</v>
      </c>
      <c r="ES93">
        <v>0</v>
      </c>
      <c r="EU93" s="306" t="s">
        <v>622</v>
      </c>
      <c r="EV93" s="306" t="s">
        <v>201</v>
      </c>
      <c r="EW93" s="306" t="s">
        <v>221</v>
      </c>
      <c r="EX93" s="306">
        <v>32098.9882</v>
      </c>
      <c r="EY93" s="306">
        <v>1</v>
      </c>
      <c r="EZ93" s="307">
        <v>849006</v>
      </c>
      <c r="FA93" s="308">
        <f t="shared" si="77"/>
        <v>669.50794965900366</v>
      </c>
      <c r="FB93" s="308">
        <f t="shared" si="68"/>
        <v>1.767699431352751</v>
      </c>
      <c r="FD93" s="101"/>
      <c r="FE93" s="101"/>
      <c r="FF93" s="101"/>
      <c r="FG93" s="101"/>
      <c r="FH93" s="101"/>
      <c r="FI93" s="374"/>
      <c r="FJ93" s="404"/>
      <c r="FK93" s="404"/>
    </row>
    <row r="94" spans="1:167">
      <c r="A94" s="205" t="s">
        <v>167</v>
      </c>
      <c r="B94" s="205" t="s">
        <v>167</v>
      </c>
      <c r="C94" s="201">
        <f>$K35*KTDB_TripDistribution_2035!T$12</f>
        <v>141.1242434390858</v>
      </c>
      <c r="D94" s="201">
        <f>$K35*KTDB_TripDistribution_2035!U$12</f>
        <v>1021.345021206609</v>
      </c>
      <c r="E94" s="201">
        <f>$K35*KTDB_TripDistribution_2035!V$12</f>
        <v>58.592035825405674</v>
      </c>
      <c r="F94" s="201">
        <f>$K35*KTDB_TripDistribution_2035!W$12</f>
        <v>9.2077583801056212E-2</v>
      </c>
      <c r="G94" s="201">
        <f>$K35*KTDB_TripDistribution_2035!X$12</f>
        <v>0.34784864991510234</v>
      </c>
      <c r="H94" s="201">
        <f>$K35*KTDB_TripDistribution_2035!Y$12</f>
        <v>1221.5012267048166</v>
      </c>
      <c r="I94" s="56"/>
      <c r="J94" s="56"/>
      <c r="K94" s="206" t="s">
        <v>167</v>
      </c>
      <c r="L94" s="206" t="s">
        <v>167</v>
      </c>
      <c r="M94" s="206">
        <f>INDEX($A$87:$H$100,MATCH($L94,$B$87:$B$100,0),MATCH($M$86,$A$87:$H$87,0))*고양시_Modal_split!C$3 * 0.01</f>
        <v>0.39514788162944026</v>
      </c>
      <c r="N94" s="206">
        <f>INDEX($A$87:$H$100,MATCH($L94,$B$87:$B$100,0),MATCH($M$86,$A$87:$H$87,0))*고양시_Modal_split!D$3 * 0.01</f>
        <v>66.370731689402049</v>
      </c>
      <c r="O94" s="206">
        <f>INDEX($A$87:$H$100,MATCH($L94,$B$87:$B$100,0),MATCH($M$86,$A$87:$H$87,0))*고양시_Modal_split!E$3 * 0.01</f>
        <v>8.0299694516839821</v>
      </c>
      <c r="P94" s="206">
        <f>INDEX($A$87:$H$100,MATCH($L94,$B$87:$B$100,0),MATCH($M$86,$A$87:$H$87,0))*고양시_Modal_split!F$3 * 0.01</f>
        <v>12.941093123364169</v>
      </c>
      <c r="Q94" s="206">
        <f>INDEX($A$87:$H$100,MATCH($L94,$B$87:$B$100,0),MATCH($M$86,$A$87:$H$87,0))*고양시_Modal_split!G$3 * 0.01</f>
        <v>1.2983430396395892</v>
      </c>
      <c r="R94" s="206">
        <f>INDEX($A$87:$H$100,MATCH($L94,$B$87:$B$100,0),MATCH($M$86,$A$87:$H$87,0))*고양시_Modal_split!H$3 * 0.01</f>
        <v>1.4112424343908581E-2</v>
      </c>
      <c r="S94" s="206">
        <f>INDEX($A$87:$H$100,MATCH($L94,$B$87:$B$100,0),MATCH($M$86,$A$87:$H$87,0))*고양시_Modal_split!I$3 * 0.01</f>
        <v>3.9232539676065854</v>
      </c>
      <c r="T94" s="206">
        <f>INDEX($A$87:$H$100,MATCH($L94,$B$87:$B$100,0),MATCH($M$86,$A$87:$H$87,0))*고양시_Modal_split!J$3 * 0.01</f>
        <v>42.958219702857726</v>
      </c>
      <c r="U94" s="206">
        <f>INDEX($A$87:$H$100,MATCH($L94,$B$87:$B$100,0),MATCH($M$86,$A$87:$H$87,0))*고양시_Modal_split!K$3 * 0.01</f>
        <v>0.21168636515862868</v>
      </c>
      <c r="V94" s="206">
        <f>INDEX($A$87:$H$100,MATCH($L94,$B$87:$B$100,0),MATCH($M$86,$A$87:$H$87,0))*고양시_Modal_split!L$3 * 0.01</f>
        <v>4.2619521518603918</v>
      </c>
      <c r="W94" s="206">
        <f>INDEX($A$87:$H$100,MATCH($L94,$B$87:$B$100,0),MATCH($M$86,$A$87:$H$87,0))*고양시_Modal_split!M$3 * 0.01</f>
        <v>0.3245857599098973</v>
      </c>
      <c r="X94" s="206">
        <f>INDEX($A$87:$H$100,MATCH($L94,$B$87:$B$100,0),MATCH($M$86,$A$87:$H$87,0))*고양시_Modal_split!N$3 * 0.01</f>
        <v>0.14112424343908581</v>
      </c>
      <c r="Y94" s="206">
        <f>INDEX($A$87:$H$100,MATCH($L94,$B$87:$B$100,0),MATCH($M$86,$A$87:$H$87,0))*고양시_Modal_split!O$3 * 0.01</f>
        <v>0.25402363819035445</v>
      </c>
      <c r="Z94" s="209">
        <f>INDEX($A$87:$H$100,MATCH($L94,$B$87:$B$100,0),MATCH($M$86,$A$87:$H$87,0))*고양시_Modal_split!P$3 * 0.01</f>
        <v>141.1242434390858</v>
      </c>
      <c r="AA94" s="207">
        <f>INDEX($A$87:$H$100,MATCH($L94,$B$87:$B$100,0),MATCH($AA$86,$A$87:$H$87,0))*고양시_Modal_split!C$3 * 0.01</f>
        <v>2.8597660593785048</v>
      </c>
      <c r="AB94" s="207">
        <f>INDEX($A$87:$H$100,MATCH($L94,$B$87:$B$100,0),MATCH($AA$86,$A$87:$H$87,0))*고양시_Modal_split!D$3 * 0.01</f>
        <v>480.33856347346824</v>
      </c>
      <c r="AC94" s="207">
        <f>INDEX($A$87:$H$100,MATCH($L94,$B$87:$B$100,0),MATCH($AA$86,$A$87:$H$87,0))*고양시_Modal_split!E$3 * 0.01</f>
        <v>58.114531706656045</v>
      </c>
      <c r="AD94" s="207">
        <f>INDEX($A$87:$H$100,MATCH($L94,$B$87:$B$100,0),MATCH($AA$86,$A$87:$H$87,0))*고양시_Modal_split!F$3 * 0.01</f>
        <v>93.657338444646044</v>
      </c>
      <c r="AE94" s="207">
        <f>INDEX($A$87:$H$100,MATCH($L94,$B$87:$B$100,0),MATCH($AA$86,$A$87:$H$87,0))*고양시_Modal_split!G$3 * 0.01</f>
        <v>9.3963741951008029</v>
      </c>
      <c r="AF94" s="207">
        <f>INDEX($A$87:$H$100,MATCH($L94,$B$87:$B$100,0),MATCH($AA$86,$A$87:$H$87,0))*고양시_Modal_split!H$3 * 0.01</f>
        <v>0.10213450212066091</v>
      </c>
      <c r="AG94" s="207">
        <f>INDEX($A$87:$H$100,MATCH($L94,$B$87:$B$100,0),MATCH($AA$86,$A$87:$H$87,0))*고양시_Modal_split!I$3 * 0.01</f>
        <v>28.393391589543725</v>
      </c>
      <c r="AH94" s="207">
        <f>INDEX($A$87:$H$100,MATCH($L94,$B$87:$B$100,0),MATCH($AA$86,$A$87:$H$87,0))*고양시_Modal_split!J$3 * 0.01</f>
        <v>310.8974244552918</v>
      </c>
      <c r="AI94" s="207">
        <f>INDEX($A$87:$H$100,MATCH($L94,$B$87:$B$100,0),MATCH($AA$86,$A$87:$H$87,0))*고양시_Modal_split!K$3 * 0.01</f>
        <v>1.5320175318099134</v>
      </c>
      <c r="AJ94" s="207">
        <f>INDEX($A$87:$H$100,MATCH($L94,$B$87:$B$100,0),MATCH($AA$86,$A$87:$H$87,0))*고양시_Modal_split!L$3 * 0.01</f>
        <v>30.844619640439593</v>
      </c>
      <c r="AK94" s="207">
        <f>INDEX($A$87:$H$100,MATCH($L94,$B$87:$B$100,0),MATCH($AA$86,$A$87:$H$87,0))*고양시_Modal_split!M$3 * 0.01</f>
        <v>2.3490935487752007</v>
      </c>
      <c r="AL94" s="207">
        <f>INDEX($A$87:$H$100,MATCH($L94,$B$87:$B$100,0),MATCH($AA$86,$A$87:$H$87,0))*고양시_Modal_split!N$3 * 0.01</f>
        <v>1.0213450212066091</v>
      </c>
      <c r="AM94" s="207">
        <f>INDEX($A$87:$H$100,MATCH($L94,$B$87:$B$100,0),MATCH($AA$86,$A$87:$H$87,0))*고양시_Modal_split!O$3 * 0.01</f>
        <v>1.8384210381718962</v>
      </c>
      <c r="AN94" s="207">
        <f>INDEX($A$87:$H$100,MATCH($L94,$B$87:$B$100,0),MATCH($AA$86,$A$87:$H$87,0))*고양시_Modal_split!P$3 * 0.01</f>
        <v>1021.345021206609</v>
      </c>
      <c r="AO94" s="303">
        <f>INDEX($A$87:$H$100,MATCH($L94,$B$87:$B$100,0),MATCH($AO$86,$A$87:$H$87,0))*고양시_Modal_split!C$3 * 0.01</f>
        <v>0.16405770031113587</v>
      </c>
      <c r="AP94" s="303">
        <f>INDEX($A$87:$H$100,MATCH($L94,$B$87:$B$100,0),MATCH($AO$86,$A$87:$H$87,0))*고양시_Modal_split!D$3 * 0.01</f>
        <v>27.555834448688287</v>
      </c>
      <c r="AQ94" s="303">
        <f>INDEX($A$87:$H$100,MATCH($L94,$B$87:$B$100,0),MATCH($AO$86,$A$87:$H$87,0))*고양시_Modal_split!E$3 * 0.01</f>
        <v>3.3338868384655824</v>
      </c>
      <c r="AR94" s="303">
        <f>INDEX($A$87:$H$100,MATCH($L94,$B$87:$B$100,0),MATCH($AO$86,$A$87:$H$87,0))*고양시_Modal_split!F$3 * 0.01</f>
        <v>5.3728896851897003</v>
      </c>
      <c r="AS94" s="303">
        <f>INDEX($A$87:$H$100,MATCH($L94,$B$87:$B$100,0),MATCH($AO$86,$A$87:$H$87,0))*고양시_Modal_split!G$3 * 0.01</f>
        <v>0.53904672959373212</v>
      </c>
      <c r="AT94" s="303">
        <f>INDEX($A$87:$H$100,MATCH($L94,$B$87:$B$100,0),MATCH($AO$86,$A$87:$H$87,0))*고양시_Modal_split!H$3 * 0.01</f>
        <v>5.8592035825405673E-3</v>
      </c>
      <c r="AU94" s="303">
        <f>INDEX($A$87:$H$100,MATCH($L94,$B$87:$B$100,0),MATCH($AO$86,$A$87:$H$87,0))*고양시_Modal_split!I$3 * 0.01</f>
        <v>1.6288585959462776</v>
      </c>
      <c r="AV94" s="303">
        <f>INDEX($A$87:$H$100,MATCH($L94,$B$87:$B$100,0),MATCH($AO$86,$A$87:$H$87,0))*고양시_Modal_split!J$3 * 0.01</f>
        <v>17.835415705253489</v>
      </c>
      <c r="AW94" s="303">
        <f>INDEX($A$87:$H$100,MATCH($L94,$B$87:$B$100,0),MATCH($AO$86,$A$87:$H$87,0))*고양시_Modal_split!K$3 * 0.01</f>
        <v>8.7888053738108513E-2</v>
      </c>
      <c r="AX94" s="303">
        <f>INDEX($A$87:$H$100,MATCH($L94,$B$87:$B$100,0),MATCH($AO$86,$A$87:$H$87,0))*고양시_Modal_split!L$3 * 0.01</f>
        <v>1.7694794819272515</v>
      </c>
      <c r="AY94" s="303">
        <f>INDEX($A$87:$H$100,MATCH($L94,$B$87:$B$100,0),MATCH($AO$86,$A$87:$H$87,0))*고양시_Modal_split!M$3 * 0.01</f>
        <v>0.13476168239843303</v>
      </c>
      <c r="AZ94" s="303">
        <f>INDEX($A$87:$H$100,MATCH($L94,$B$87:$B$100,0),MATCH($AO$86,$A$87:$H$87,0))*고양시_Modal_split!N$3 * 0.01</f>
        <v>5.8592035825405675E-2</v>
      </c>
      <c r="BA94" s="207">
        <f>INDEX($A$87:$H$100,MATCH($L94,$B$87:$B$100,0),MATCH($AO$86,$A$87:$H$87,0))*고양시_Modal_split!O$3 * 0.01</f>
        <v>0.10546566448573021</v>
      </c>
      <c r="BB94" s="207">
        <f>INDEX($A$87:$H$100,MATCH($L94,$B$87:$B$100,0),MATCH($AO$86,$A$87:$H$87,0))*고양시_Modal_split!P$3 * 0.01</f>
        <v>58.592035825405674</v>
      </c>
      <c r="BC94" s="207">
        <f>INDEX($A$87:$H$100,MATCH($L94,$B$87:$B$100,0),MATCH($BC$86,$A$87:$H$87,0))*고양시_Modal_split!C$3 * 0.01</f>
        <v>2.5781723464295738E-4</v>
      </c>
      <c r="BD94" s="207">
        <f>INDEX($A$87:$H$100,MATCH($L94,$B$87:$B$100,0),MATCH($BC$86,$A$87:$H$87,0))*고양시_Modal_split!D$3 * 0.01</f>
        <v>4.3304087661636743E-2</v>
      </c>
      <c r="BE94" s="207">
        <f>INDEX($A$87:$H$100,MATCH($L94,$B$87:$B$100,0),MATCH($BC$86,$A$87:$H$87,0))*고양시_Modal_split!E$3 * 0.01</f>
        <v>5.2392145182800975E-3</v>
      </c>
      <c r="BF94" s="207">
        <f>INDEX($A$87:$H$100,MATCH($L94,$B$87:$B$100,0),MATCH($BC$86,$A$87:$H$87,0))*고양시_Modal_split!F$3 * 0.01</f>
        <v>8.443514434556855E-3</v>
      </c>
      <c r="BG94" s="207">
        <f>INDEX($A$87:$H$100,MATCH($L94,$B$87:$B$100,0),MATCH($BC$86,$A$87:$H$87,0))*고양시_Modal_split!G$3 * 0.01</f>
        <v>8.4711377096971714E-4</v>
      </c>
      <c r="BH94" s="207">
        <f>INDEX($A$87:$H$100,MATCH($L94,$B$87:$B$100,0),MATCH($BC$86,$A$87:$H$87,0))*고양시_Modal_split!H$3 * 0.01</f>
        <v>9.207758380105622E-6</v>
      </c>
      <c r="BI94" s="207">
        <f>INDEX($A$87:$H$100,MATCH($L94,$B$87:$B$100,0),MATCH($BC$86,$A$87:$H$87,0))*고양시_Modal_split!I$3 * 0.01</f>
        <v>2.5597568296693626E-3</v>
      </c>
      <c r="BJ94" s="207">
        <f>INDEX($A$87:$H$100,MATCH($L94,$B$87:$B$100,0),MATCH($BC$86,$A$87:$H$87,0))*고양시_Modal_split!J$3 * 0.01</f>
        <v>2.8028416509041514E-2</v>
      </c>
      <c r="BK94" s="207">
        <f>INDEX($A$87:$H$100,MATCH($L94,$B$87:$B$100,0),MATCH($BC$86,$A$87:$H$87,0))*고양시_Modal_split!K$3 * 0.01</f>
        <v>1.3811637570158432E-4</v>
      </c>
      <c r="BL94" s="207">
        <f>INDEX($A$87:$H$100,MATCH($L94,$B$87:$B$100,0),MATCH($BC$86,$A$87:$H$87,0))*고양시_Modal_split!L$3 * 0.01</f>
        <v>2.7807430307918981E-3</v>
      </c>
      <c r="BM94" s="207">
        <f>INDEX($A$87:$H$100,MATCH($L94,$B$87:$B$100,0),MATCH($BC$86,$A$87:$H$87,0))*고양시_Modal_split!M$3 * 0.01</f>
        <v>2.1177844274242928E-4</v>
      </c>
      <c r="BN94" s="207">
        <f>INDEX($A$87:$H$100,MATCH($L94,$B$87:$B$100,0),MATCH($BC$86,$A$87:$H$87,0))*고양시_Modal_split!N$3 * 0.01</f>
        <v>9.2077583801056223E-5</v>
      </c>
      <c r="BO94" s="207">
        <f>INDEX($A$87:$H$100,MATCH($L94,$B$87:$B$100,0),MATCH($BC$86,$A$87:$H$87,0))*고양시_Modal_split!O$3 * 0.01</f>
        <v>1.6573965084190116E-4</v>
      </c>
      <c r="BP94" s="207">
        <f>INDEX($A$87:$H$100,MATCH($L94,$B$87:$B$100,0),MATCH($BC$86,$A$87:$H$87,0))*고양시_Modal_split!P$3 * 0.01</f>
        <v>9.2077583801056226E-2</v>
      </c>
      <c r="BQ94" s="207">
        <f>INDEX($A$87:$H$100,MATCH($L94,$B$87:$B$100,0),MATCH($BQ$86,$A$87:$H$87,0))*고양시_Modal_split!C$3 * 0.01</f>
        <v>9.7397621976228648E-4</v>
      </c>
      <c r="BR94" s="207">
        <f>INDEX($A$87:$H$100,MATCH($L94,$B$87:$B$100,0),MATCH($BQ$86,$A$87:$H$87,0))*고양시_Modal_split!D$3 * 0.01</f>
        <v>0.16359322005507262</v>
      </c>
      <c r="BS94" s="207">
        <f>INDEX($A$87:$H$100,MATCH($L94,$B$87:$B$100,0),MATCH($BQ$86,$A$87:$H$87,0))*고양시_Modal_split!E$3 * 0.01</f>
        <v>1.979258818016932E-2</v>
      </c>
      <c r="BT94" s="207">
        <f>INDEX($A$87:$H$100,MATCH($L94,$B$87:$B$100,0),MATCH($BQ$86,$A$87:$H$87,0))*고양시_Modal_split!F$3 * 0.01</f>
        <v>3.1897721197214887E-2</v>
      </c>
      <c r="BU94" s="207">
        <f>INDEX($A$87:$H$100,MATCH($L94,$B$87:$B$100,0),MATCH($BQ$86,$A$87:$H$87,0))*고양시_Modal_split!G$3 * 0.01</f>
        <v>3.2002075792189411E-3</v>
      </c>
      <c r="BV94" s="207">
        <f>INDEX($A$87:$H$100,MATCH($L94,$B$87:$B$100,0),MATCH($BQ$86,$A$87:$H$87,0))*고양시_Modal_split!H$3 * 0.01</f>
        <v>3.4784864991510233E-5</v>
      </c>
      <c r="BW94" s="207">
        <f>INDEX($A$87:$H$100,MATCH($L94,$B$87:$B$100,0),MATCH($BQ$86,$A$87:$H$87,0))*고양시_Modal_split!I$3 * 0.01</f>
        <v>9.6701924676398446E-3</v>
      </c>
      <c r="BX94" s="207">
        <f>INDEX($A$87:$H$100,MATCH($L94,$B$87:$B$100,0),MATCH($BQ$86,$A$87:$H$87,0))*고양시_Modal_split!J$3 * 0.01</f>
        <v>0.10588512903415716</v>
      </c>
      <c r="BY94" s="207">
        <f>INDEX($A$87:$H$100,MATCH($L94,$B$87:$B$100,0),MATCH($BQ$86,$A$87:$H$87,0))*고양시_Modal_split!K$3 * 0.01</f>
        <v>5.2177297487265351E-4</v>
      </c>
      <c r="BZ94" s="207">
        <f>INDEX($A$87:$H$100,MATCH($L94,$B$87:$B$100,0),MATCH($BQ$86,$A$87:$H$87,0))*고양시_Modal_split!L$3 * 0.01</f>
        <v>1.0505029227436092E-2</v>
      </c>
      <c r="CA94" s="207">
        <f>INDEX($A$87:$H$100,MATCH($L94,$B$87:$B$100,0),MATCH($BQ$86,$A$87:$H$87,0))*고양시_Modal_split!M$3 * 0.01</f>
        <v>8.0005189480473527E-4</v>
      </c>
      <c r="CB94" s="207">
        <f>INDEX($A$87:$H$100,MATCH($L94,$B$87:$B$100,0),MATCH($BQ$86,$A$87:$H$87,0))*고양시_Modal_split!N$3 * 0.01</f>
        <v>3.4784864991510236E-4</v>
      </c>
      <c r="CC94" s="207">
        <f>INDEX($A$87:$H$100,MATCH($L94,$B$87:$B$100,0),MATCH($BQ$86,$A$87:$H$87,0))*고양시_Modal_split!O$3 * 0.01</f>
        <v>6.2612756984718428E-4</v>
      </c>
      <c r="CD94" s="207">
        <f>INDEX($A$87:$H$100,MATCH($L94,$B$87:$B$100,0),MATCH($BQ$86,$A$87:$H$87,0))*고양시_Modal_split!P$3 * 0.01</f>
        <v>0.34784864991510234</v>
      </c>
      <c r="CE94" s="304">
        <f t="shared" si="69"/>
        <v>3.4202034347734864</v>
      </c>
      <c r="CF94" s="304">
        <f t="shared" si="51"/>
        <v>574.47202691927532</v>
      </c>
      <c r="CG94" s="304">
        <f t="shared" si="52"/>
        <v>69.503419799504073</v>
      </c>
      <c r="CH94" s="304">
        <f t="shared" si="53"/>
        <v>112.01166248883169</v>
      </c>
      <c r="CI94" s="304">
        <f t="shared" si="54"/>
        <v>11.237811285684312</v>
      </c>
      <c r="CJ94" s="304">
        <f t="shared" si="55"/>
        <v>0.12215012267048167</v>
      </c>
      <c r="CK94" s="304">
        <f t="shared" si="56"/>
        <v>33.957734102393893</v>
      </c>
      <c r="CL94" s="304">
        <f t="shared" si="57"/>
        <v>371.82497340894616</v>
      </c>
      <c r="CM94" s="304">
        <f t="shared" si="58"/>
        <v>1.8322518400572247</v>
      </c>
      <c r="CN94" s="304">
        <f t="shared" si="59"/>
        <v>36.889337046485466</v>
      </c>
      <c r="CO94" s="304">
        <f t="shared" si="60"/>
        <v>2.8094528214210781</v>
      </c>
      <c r="CP94" s="304">
        <f t="shared" si="61"/>
        <v>1.2215012267048169</v>
      </c>
      <c r="CQ94" s="304">
        <f t="shared" si="62"/>
        <v>2.1987022080686698</v>
      </c>
      <c r="CR94" s="304">
        <f t="shared" si="63"/>
        <v>1221.5012267048164</v>
      </c>
      <c r="CS94" s="305">
        <f t="shared" si="70"/>
        <v>0</v>
      </c>
      <c r="CV94" s="267" t="s">
        <v>167</v>
      </c>
      <c r="CW94" s="267" t="s">
        <v>167</v>
      </c>
      <c r="CX94" s="267">
        <f>INDEX($M$86:$Z$100,MATCH($CW94,$L$86:$L$100,0),MATCH(CX$87,$M$87:$Z$87,0))/INDEX(고양시_재차인원!$D$4:$H$35,MATCH("고양시",고양시_재차인원!$B$4:$B$35,0),MATCH($CX$86,고양시_재차인원!$D$4:$H$4,0))</f>
        <v>59.259581865537541</v>
      </c>
      <c r="CY94" s="267">
        <f>INDEX($M$86:$Z$100,MATCH($CW94,$L$86:$L$100,0),MATCH(CY$87,$M$87:$Z$87,0))/INDEX(고양시_재차인원!$K$4:$O$20,MATCH("경기도",고양시_재차인원!$K$4:$K$20,0),MATCH($CY$87,고양시_재차인원!$K$4:$O$4,0))</f>
        <v>4.9018493726671005E-4</v>
      </c>
      <c r="CZ94" s="267">
        <f>INDEX($M$86:$Z$100,MATCH($CW94,$L$86:$L$100,0),MATCH(CZ$87,$M$87:$Z$87,0))/INDEX(고양시_재차인원!$K$4:$O$20,MATCH("경기도",고양시_재차인원!$K$4:$K$20,0),MATCH($CZ$87,고양시_재차인원!$K$4:$O$4,0))</f>
        <v>0.13627141256014538</v>
      </c>
      <c r="DA94" s="267">
        <f>INDEX($M$86:$Z$100,MATCH($CW94,$L$86:$L$100,0),MATCH(DA$87,$M$87:$Z$87,0))/INDEX(고양시_재차인원!$D$4:$H$35,MATCH("고양시",고양시_재차인원!$B$4:$B$35,0),MATCH($CX$86,고양시_재차인원!$D$4:$H$4,0))</f>
        <v>3.8053144213039207</v>
      </c>
      <c r="DB94" s="267">
        <f>INDEX($AA$86:$AN$100,MATCH($CW94,$L$86:$L$100,0),MATCH(DB$87,$AA$87:$AN$87,0))/INDEX(고양시_재차인원!$D$4:$H$35,MATCH("고양시",고양시_재차인원!$B$4:$B$35,0),MATCH($DB$86,고양시_재차인원!$D$4:$H$4,0))</f>
        <v>340.66564785352358</v>
      </c>
      <c r="DC94" s="267">
        <f>INDEX($AA$86:$AN$100,MATCH($CW94,$L$86:$L$100,0),MATCH(DC$87,$AA$87:$AN$87,0))/INDEX(고양시_재차인원!$K$4:$O$20,MATCH("경기도",고양시_재차인원!$K$4:$K$20,0),MATCH(DC$87,고양시_재차인원!$K$4:$O$4,0))</f>
        <v>3.5475686738680417E-3</v>
      </c>
      <c r="DD94" s="267">
        <f>INDEX($AA$86:$AN$100,MATCH($CW94,$L$86:$L$100,0),MATCH(DD$87,$AA$87:$AN$87,0))/INDEX(고양시_재차인원!$K$4:$O$20,MATCH("경기도",고양시_재차인원!$K$4:$K$20,0),MATCH(DD$87,고양시_재차인원!$K$4:$O$4,0))</f>
        <v>0.9862240913353153</v>
      </c>
      <c r="DE94" s="267">
        <f>INDEX($AA$86:$AN$100,MATCH($CW94,$L$86:$L$100,0),MATCH(DE$87,$AA$87:$AN$87,0))/INDEX(고양시_재차인원!$D$4:$H$35,MATCH("고양시",고양시_재차인원!$B$4:$B$35,0),MATCH($DB$86,고양시_재차인원!$D$4:$H$4,0))</f>
        <v>21.875616766269214</v>
      </c>
      <c r="DF94" s="267">
        <f>INDEX($AO$86:$BB$100,MATCH($CW94,$L$86:$L$100,0),MATCH(DF$87,$AO$87:$BB$87,0))/INDEX(고양시_재차인원!$D$4:$H$35,MATCH("고양시",고양시_재차인원!$B$4:$B$35,0),MATCH($DF$86,고양시_재차인원!$D$4:$H$4,0))</f>
        <v>21.196795729760222</v>
      </c>
      <c r="DG94" s="267">
        <f>INDEX($AO$86:$BB$100,MATCH($CW94,$L$86:$L$100,0),MATCH(DG$87,$AO$87:$BB$87,0))/INDEX(고양시_재차인원!$K$4:$O$20,MATCH("경기도",고양시_재차인원!$K$4:$K$20,0),MATCH(DG$87,고양시_재차인원!$K$4:$O$4,0))</f>
        <v>2.0351523384996761E-4</v>
      </c>
      <c r="DH94" s="267">
        <f>INDEX($AO$86:$BB$100,MATCH($CW94,$L$86:$L$100,0),MATCH(DH$87,$AO$87:$BB$87,0))/INDEX(고양시_재차인원!$K$4:$O$20,MATCH("경기도",고양시_재차인원!$K$4:$K$20,0),MATCH(DH$87,고양시_재차인원!$K$4:$O$4,0))</f>
        <v>5.6577235010290994E-2</v>
      </c>
      <c r="DI94" s="267">
        <f>INDEX($AO$86:$BB$100,MATCH($CW94,$L$86:$L$100,0),MATCH(DI$87,$AO$87:$BB$87,0))/INDEX(고양시_재차인원!$D$4:$H$35,MATCH("고양시",고양시_재차인원!$B$4:$B$35,0),MATCH($DF$86,고양시_재차인원!$D$4:$H$4,0))</f>
        <v>1.3611380630209626</v>
      </c>
      <c r="DJ94" s="267">
        <f>INDEX($BC$86:$BP$100,MATCH($CW94,$L$86:$L$100,0),MATCH(DJ$87,$BC$87:$BP$87,0))/INDEX(고양시_재차인원!$D$4:$H$35,MATCH("고양시",고양시_재차인원!$B$4:$B$35,0),MATCH($DJ$86,고양시_재차인원!$D$4:$H$4,0))</f>
        <v>3.1841240927674076E-2</v>
      </c>
      <c r="DK94" s="267">
        <f>INDEX($BC$86:$BP$100,MATCH($CW94,$L$86:$L$100,0),MATCH(DK$87,$BC$87:$BP$87,0))/INDEX(고양시_재차인원!$K$4:$O$20,MATCH("경기도",고양시_재차인원!$K$4:$K$20,0),MATCH(DK$87,고양시_재차인원!$K$4:$O$4,0))</f>
        <v>3.1982488294913588E-7</v>
      </c>
      <c r="DL94" s="267">
        <f>INDEX($BC$86:$BP$100,MATCH($CW94,$L$86:$L$100,0),MATCH(DL$87,$BC$87:$BP$87,0))/INDEX(고양시_재차인원!$K$4:$O$20,MATCH("경기도",고양시_재차인원!$K$4:$K$20,0),MATCH(DL$87,고양시_재차인원!$K$4:$O$4,0))</f>
        <v>8.8911317459859767E-5</v>
      </c>
      <c r="DM94" s="267">
        <f>INDEX($BC$86:$BP$100,MATCH($CW94,$L$86:$L$100,0),MATCH(DM$87,$BC$87:$BP$87,0))/INDEX(고양시_재차인원!$D$4:$H$35,MATCH("고양시",고양시_재차인원!$B$4:$B$35,0),MATCH($DJ$86,고양시_재차인원!$D$4:$H$4,0))</f>
        <v>2.0446639932293368E-3</v>
      </c>
      <c r="DN94" s="267">
        <f>INDEX($BQ$86:$CD$100,MATCH($CW94,$L$86:$L$100,0),MATCH(DN$87,$BQ$87:$CD$87,0))/INDEX(고양시_재차인원!$D$4:$H$35,MATCH("고양시",고양시_재차인원!$B$4:$B$35,0),MATCH($DN$86,고양시_재차인원!$D$4:$H$4,0))</f>
        <v>0.12983588893259732</v>
      </c>
      <c r="DO94" s="267">
        <f>INDEX($BQ$86:$CD$100,MATCH($CW94,$L$86:$L$100,0),MATCH(DO$87,$BQ$87:$CD$87,0))/INDEX(고양시_재차인원!$K$4:$O$20,MATCH("경기도",고양시_재차인원!$K$4:$K$20,0),MATCH(DO$87,고양시_재차인원!$K$4:$O$4,0))</f>
        <v>1.2082273355856281E-6</v>
      </c>
      <c r="DP94" s="267">
        <f>INDEX($BQ$86:$CD$100,MATCH($CW94,$L$86:$L$100,0),MATCH(DP$87,$BQ$87:$CD$87,0))/INDEX(고양시_재차인원!$K$4:$O$20,MATCH("경기도",고양시_재차인원!$K$4:$K$20,0),MATCH(DP$87,고양시_재차인원!$K$4:$O$4,0))</f>
        <v>3.3588719929280464E-4</v>
      </c>
      <c r="DQ94" s="267">
        <f>INDEX($BQ$86:$CD$100,MATCH($CW94,$L$86:$L$100,0),MATCH(DQ$87,$BQ$87:$CD$87,0))/INDEX(고양시_재차인원!$D$4:$H$35,MATCH("고양시",고양시_재차인원!$B$4:$B$35,0),MATCH($DN$86,고양시_재차인원!$D$4:$H$4,0))</f>
        <v>8.3373247836794374E-3</v>
      </c>
      <c r="DR94" s="270">
        <f t="shared" si="71"/>
        <v>421.28370257868158</v>
      </c>
      <c r="DS94" s="270">
        <f t="shared" si="64"/>
        <v>4.2427968972032545E-3</v>
      </c>
      <c r="DT94" s="270">
        <f t="shared" si="65"/>
        <v>1.1794975374225045</v>
      </c>
      <c r="DU94" s="270">
        <f t="shared" si="66"/>
        <v>27.052451239371006</v>
      </c>
      <c r="DW94" s="278" t="s">
        <v>167</v>
      </c>
      <c r="DX94" s="278" t="s">
        <v>167</v>
      </c>
      <c r="DY94" s="281">
        <f t="shared" si="72"/>
        <v>448.33615381805259</v>
      </c>
      <c r="DZ94" s="281">
        <f t="shared" si="73"/>
        <v>1.1837403343197077</v>
      </c>
      <c r="EB94" s="278" t="s">
        <v>168</v>
      </c>
      <c r="EC94" s="278" t="s">
        <v>168</v>
      </c>
      <c r="ED94" s="281">
        <f>DY95</f>
        <v>1702.5565347272591</v>
      </c>
      <c r="EE94" s="281">
        <f t="shared" ref="EE94:EE99" si="80">DZ95</f>
        <v>4.4952538947687639</v>
      </c>
      <c r="EK94" s="420" t="s">
        <v>168</v>
      </c>
      <c r="EL94" s="420" t="s">
        <v>168</v>
      </c>
      <c r="EM94" s="420" t="s">
        <v>569</v>
      </c>
      <c r="EN94" s="420">
        <v>63163.374600000003</v>
      </c>
      <c r="EO94" s="420">
        <v>0.3749310795992149</v>
      </c>
      <c r="EP94" s="421">
        <v>849007</v>
      </c>
      <c r="EQ94" s="422">
        <f t="shared" si="75"/>
        <v>620.14863089413575</v>
      </c>
      <c r="ER94" s="422">
        <f t="shared" si="76"/>
        <v>1.6373761995568388</v>
      </c>
      <c r="ES94">
        <v>0</v>
      </c>
      <c r="EU94" s="306" t="s">
        <v>168</v>
      </c>
      <c r="EV94" s="306" t="s">
        <v>168</v>
      </c>
      <c r="EW94" s="306" t="s">
        <v>569</v>
      </c>
      <c r="EX94" s="306">
        <v>63163.374600000003</v>
      </c>
      <c r="EY94" s="306">
        <v>0.3749310795992149</v>
      </c>
      <c r="EZ94" s="307">
        <v>849007</v>
      </c>
      <c r="FA94" s="308">
        <f t="shared" si="77"/>
        <v>620.14863089413575</v>
      </c>
      <c r="FB94" s="308">
        <f t="shared" si="68"/>
        <v>1.6373761995568388</v>
      </c>
      <c r="FD94" s="101"/>
      <c r="FE94" s="101"/>
      <c r="FF94" s="101"/>
      <c r="FG94" s="101"/>
      <c r="FH94" s="101"/>
      <c r="FI94" s="374"/>
      <c r="FJ94" s="404"/>
      <c r="FK94" s="404"/>
    </row>
    <row r="95" spans="1:167">
      <c r="A95" s="205" t="s">
        <v>168</v>
      </c>
      <c r="B95" s="205" t="s">
        <v>168</v>
      </c>
      <c r="C95" s="201">
        <f>$K36*KTDB_TripDistribution_2035!T$12</f>
        <v>535.91931150206813</v>
      </c>
      <c r="D95" s="201">
        <f>$K36*KTDB_TripDistribution_2035!U$12</f>
        <v>3878.5576966254575</v>
      </c>
      <c r="E95" s="201">
        <f>$K36*KTDB_TripDistribution_2035!V$12</f>
        <v>222.50325481893211</v>
      </c>
      <c r="F95" s="201">
        <f>$K36*KTDB_TripDistribution_2035!W$12</f>
        <v>0.3496646225546326</v>
      </c>
      <c r="G95" s="201">
        <f>$K36*KTDB_TripDistribution_2035!X$12</f>
        <v>1.3209552407619496</v>
      </c>
      <c r="H95" s="201">
        <f>$K36*KTDB_TripDistribution_2035!Y$12</f>
        <v>4638.6508828097749</v>
      </c>
      <c r="I95" s="56"/>
      <c r="J95" s="56"/>
      <c r="K95" s="206" t="s">
        <v>168</v>
      </c>
      <c r="L95" s="206" t="s">
        <v>168</v>
      </c>
      <c r="M95" s="206">
        <f>INDEX($A$87:$H$100,MATCH($L95,$B$87:$B$100,0),MATCH($M$86,$A$87:$H$87,0))*고양시_Modal_split!C$3 * 0.01</f>
        <v>1.5005740722057905</v>
      </c>
      <c r="N95" s="206">
        <f>INDEX($A$87:$H$100,MATCH($L95,$B$87:$B$100,0),MATCH($M$86,$A$87:$H$87,0))*고양시_Modal_split!D$3 * 0.01</f>
        <v>252.04285219942264</v>
      </c>
      <c r="O95" s="206">
        <f>INDEX($A$87:$H$100,MATCH($L95,$B$87:$B$100,0),MATCH($M$86,$A$87:$H$87,0))*고양시_Modal_split!E$3 * 0.01</f>
        <v>30.493808824467674</v>
      </c>
      <c r="P95" s="206">
        <f>INDEX($A$87:$H$100,MATCH($L95,$B$87:$B$100,0),MATCH($M$86,$A$87:$H$87,0))*고양시_Modal_split!F$3 * 0.01</f>
        <v>49.143800864739653</v>
      </c>
      <c r="Q95" s="206">
        <f>INDEX($A$87:$H$100,MATCH($L95,$B$87:$B$100,0),MATCH($M$86,$A$87:$H$87,0))*고양시_Modal_split!G$3 * 0.01</f>
        <v>4.9304576658190262</v>
      </c>
      <c r="R95" s="206">
        <f>INDEX($A$87:$H$100,MATCH($L95,$B$87:$B$100,0),MATCH($M$86,$A$87:$H$87,0))*고양시_Modal_split!H$3 * 0.01</f>
        <v>5.3591931150206815E-2</v>
      </c>
      <c r="S95" s="206">
        <f>INDEX($A$87:$H$100,MATCH($L95,$B$87:$B$100,0),MATCH($M$86,$A$87:$H$87,0))*고양시_Modal_split!I$3 * 0.01</f>
        <v>14.898556859757493</v>
      </c>
      <c r="T95" s="206">
        <f>INDEX($A$87:$H$100,MATCH($L95,$B$87:$B$100,0),MATCH($M$86,$A$87:$H$87,0))*고양시_Modal_split!J$3 * 0.01</f>
        <v>163.13383842122954</v>
      </c>
      <c r="U95" s="206">
        <f>INDEX($A$87:$H$100,MATCH($L95,$B$87:$B$100,0),MATCH($M$86,$A$87:$H$87,0))*고양시_Modal_split!K$3 * 0.01</f>
        <v>0.80387896725310215</v>
      </c>
      <c r="V95" s="206">
        <f>INDEX($A$87:$H$100,MATCH($L95,$B$87:$B$100,0),MATCH($M$86,$A$87:$H$87,0))*고양시_Modal_split!L$3 * 0.01</f>
        <v>16.184763207362458</v>
      </c>
      <c r="W95" s="206">
        <f>INDEX($A$87:$H$100,MATCH($L95,$B$87:$B$100,0),MATCH($M$86,$A$87:$H$87,0))*고양시_Modal_split!M$3 * 0.01</f>
        <v>1.2326144164547566</v>
      </c>
      <c r="X95" s="206">
        <f>INDEX($A$87:$H$100,MATCH($L95,$B$87:$B$100,0),MATCH($M$86,$A$87:$H$87,0))*고양시_Modal_split!N$3 * 0.01</f>
        <v>0.53591931150206817</v>
      </c>
      <c r="Y95" s="206">
        <f>INDEX($A$87:$H$100,MATCH($L95,$B$87:$B$100,0),MATCH($M$86,$A$87:$H$87,0))*고양시_Modal_split!O$3 * 0.01</f>
        <v>0.96465476070372269</v>
      </c>
      <c r="Z95" s="209">
        <f>INDEX($A$87:$H$100,MATCH($L95,$B$87:$B$100,0),MATCH($M$86,$A$87:$H$87,0))*고양시_Modal_split!P$3 * 0.01</f>
        <v>535.91931150206813</v>
      </c>
      <c r="AA95" s="207">
        <f>INDEX($A$87:$H$100,MATCH($L95,$B$87:$B$100,0),MATCH($AA$86,$A$87:$H$87,0))*고양시_Modal_split!C$3 * 0.01</f>
        <v>10.859961550551279</v>
      </c>
      <c r="AB95" s="207">
        <f>INDEX($A$87:$H$100,MATCH($L95,$B$87:$B$100,0),MATCH($AA$86,$A$87:$H$87,0))*고양시_Modal_split!D$3 * 0.01</f>
        <v>1824.0856847229527</v>
      </c>
      <c r="AC95" s="207">
        <f>INDEX($A$87:$H$100,MATCH($L95,$B$87:$B$100,0),MATCH($AA$86,$A$87:$H$87,0))*고양시_Modal_split!E$3 * 0.01</f>
        <v>220.68993293798852</v>
      </c>
      <c r="AD95" s="207">
        <f>INDEX($A$87:$H$100,MATCH($L95,$B$87:$B$100,0),MATCH($AA$86,$A$87:$H$87,0))*고양시_Modal_split!F$3 * 0.01</f>
        <v>355.66374078055446</v>
      </c>
      <c r="AE95" s="207">
        <f>INDEX($A$87:$H$100,MATCH($L95,$B$87:$B$100,0),MATCH($AA$86,$A$87:$H$87,0))*고양시_Modal_split!G$3 * 0.01</f>
        <v>35.682730808954204</v>
      </c>
      <c r="AF95" s="207">
        <f>INDEX($A$87:$H$100,MATCH($L95,$B$87:$B$100,0),MATCH($AA$86,$A$87:$H$87,0))*고양시_Modal_split!H$3 * 0.01</f>
        <v>0.38785576966254576</v>
      </c>
      <c r="AG95" s="207">
        <f>INDEX($A$87:$H$100,MATCH($L95,$B$87:$B$100,0),MATCH($AA$86,$A$87:$H$87,0))*고양시_Modal_split!I$3 * 0.01</f>
        <v>107.82390396618771</v>
      </c>
      <c r="AH95" s="207">
        <f>INDEX($A$87:$H$100,MATCH($L95,$B$87:$B$100,0),MATCH($AA$86,$A$87:$H$87,0))*고양시_Modal_split!J$3 * 0.01</f>
        <v>1180.6329628527894</v>
      </c>
      <c r="AI95" s="207">
        <f>INDEX($A$87:$H$100,MATCH($L95,$B$87:$B$100,0),MATCH($AA$86,$A$87:$H$87,0))*고양시_Modal_split!K$3 * 0.01</f>
        <v>5.8178365449381868</v>
      </c>
      <c r="AJ95" s="207">
        <f>INDEX($A$87:$H$100,MATCH($L95,$B$87:$B$100,0),MATCH($AA$86,$A$87:$H$87,0))*고양시_Modal_split!L$3 * 0.01</f>
        <v>117.13244243808882</v>
      </c>
      <c r="AK95" s="207">
        <f>INDEX($A$87:$H$100,MATCH($L95,$B$87:$B$100,0),MATCH($AA$86,$A$87:$H$87,0))*고양시_Modal_split!M$3 * 0.01</f>
        <v>8.9206827022385511</v>
      </c>
      <c r="AL95" s="207">
        <f>INDEX($A$87:$H$100,MATCH($L95,$B$87:$B$100,0),MATCH($AA$86,$A$87:$H$87,0))*고양시_Modal_split!N$3 * 0.01</f>
        <v>3.8785576966254576</v>
      </c>
      <c r="AM95" s="207">
        <f>INDEX($A$87:$H$100,MATCH($L95,$B$87:$B$100,0),MATCH($AA$86,$A$87:$H$87,0))*고양시_Modal_split!O$3 * 0.01</f>
        <v>6.9814038539258227</v>
      </c>
      <c r="AN95" s="207">
        <f>INDEX($A$87:$H$100,MATCH($L95,$B$87:$B$100,0),MATCH($AA$86,$A$87:$H$87,0))*고양시_Modal_split!P$3 * 0.01</f>
        <v>3878.5576966254575</v>
      </c>
      <c r="AO95" s="303">
        <f>INDEX($A$87:$H$100,MATCH($L95,$B$87:$B$100,0),MATCH($AO$86,$A$87:$H$87,0))*고양시_Modal_split!C$3 * 0.01</f>
        <v>0.6230091134930098</v>
      </c>
      <c r="AP95" s="303">
        <f>INDEX($A$87:$H$100,MATCH($L95,$B$87:$B$100,0),MATCH($AO$86,$A$87:$H$87,0))*고양시_Modal_split!D$3 * 0.01</f>
        <v>104.64328074134377</v>
      </c>
      <c r="AQ95" s="303">
        <f>INDEX($A$87:$H$100,MATCH($L95,$B$87:$B$100,0),MATCH($AO$86,$A$87:$H$87,0))*고양시_Modal_split!E$3 * 0.01</f>
        <v>12.660435199197236</v>
      </c>
      <c r="AR95" s="303">
        <f>INDEX($A$87:$H$100,MATCH($L95,$B$87:$B$100,0),MATCH($AO$86,$A$87:$H$87,0))*고양시_Modal_split!F$3 * 0.01</f>
        <v>20.403548466896076</v>
      </c>
      <c r="AS95" s="303">
        <f>INDEX($A$87:$H$100,MATCH($L95,$B$87:$B$100,0),MATCH($AO$86,$A$87:$H$87,0))*고양시_Modal_split!G$3 * 0.01</f>
        <v>2.0470299443341755</v>
      </c>
      <c r="AT95" s="303">
        <f>INDEX($A$87:$H$100,MATCH($L95,$B$87:$B$100,0),MATCH($AO$86,$A$87:$H$87,0))*고양시_Modal_split!H$3 * 0.01</f>
        <v>2.2250325481893211E-2</v>
      </c>
      <c r="AU95" s="303">
        <f>INDEX($A$87:$H$100,MATCH($L95,$B$87:$B$100,0),MATCH($AO$86,$A$87:$H$87,0))*고양시_Modal_split!I$3 * 0.01</f>
        <v>6.1855904839663118</v>
      </c>
      <c r="AV95" s="303">
        <f>INDEX($A$87:$H$100,MATCH($L95,$B$87:$B$100,0),MATCH($AO$86,$A$87:$H$87,0))*고양시_Modal_split!J$3 * 0.01</f>
        <v>67.729990766882935</v>
      </c>
      <c r="AW95" s="303">
        <f>INDEX($A$87:$H$100,MATCH($L95,$B$87:$B$100,0),MATCH($AO$86,$A$87:$H$87,0))*고양시_Modal_split!K$3 * 0.01</f>
        <v>0.33375488222839816</v>
      </c>
      <c r="AX95" s="303">
        <f>INDEX($A$87:$H$100,MATCH($L95,$B$87:$B$100,0),MATCH($AO$86,$A$87:$H$87,0))*고양시_Modal_split!L$3 * 0.01</f>
        <v>6.7195982955317497</v>
      </c>
      <c r="AY95" s="303">
        <f>INDEX($A$87:$H$100,MATCH($L95,$B$87:$B$100,0),MATCH($AO$86,$A$87:$H$87,0))*고양시_Modal_split!M$3 * 0.01</f>
        <v>0.51175748608354388</v>
      </c>
      <c r="AZ95" s="303">
        <f>INDEX($A$87:$H$100,MATCH($L95,$B$87:$B$100,0),MATCH($AO$86,$A$87:$H$87,0))*고양시_Modal_split!N$3 * 0.01</f>
        <v>0.22250325481893213</v>
      </c>
      <c r="BA95" s="207">
        <f>INDEX($A$87:$H$100,MATCH($L95,$B$87:$B$100,0),MATCH($AO$86,$A$87:$H$87,0))*고양시_Modal_split!O$3 * 0.01</f>
        <v>0.40050585867407779</v>
      </c>
      <c r="BB95" s="207">
        <f>INDEX($A$87:$H$100,MATCH($L95,$B$87:$B$100,0),MATCH($AO$86,$A$87:$H$87,0))*고양시_Modal_split!P$3 * 0.01</f>
        <v>222.50325481893211</v>
      </c>
      <c r="BC95" s="207">
        <f>INDEX($A$87:$H$100,MATCH($L95,$B$87:$B$100,0),MATCH($BC$86,$A$87:$H$87,0))*고양시_Modal_split!C$3 * 0.01</f>
        <v>9.7906094315297122E-4</v>
      </c>
      <c r="BD95" s="207">
        <f>INDEX($A$87:$H$100,MATCH($L95,$B$87:$B$100,0),MATCH($BC$86,$A$87:$H$87,0))*고양시_Modal_split!D$3 * 0.01</f>
        <v>0.16444727198744372</v>
      </c>
      <c r="BE95" s="207">
        <f>INDEX($A$87:$H$100,MATCH($L95,$B$87:$B$100,0),MATCH($BC$86,$A$87:$H$87,0))*고양시_Modal_split!E$3 * 0.01</f>
        <v>1.9895917023358595E-2</v>
      </c>
      <c r="BF95" s="207">
        <f>INDEX($A$87:$H$100,MATCH($L95,$B$87:$B$100,0),MATCH($BC$86,$A$87:$H$87,0))*고양시_Modal_split!F$3 * 0.01</f>
        <v>3.2064245888259811E-2</v>
      </c>
      <c r="BG95" s="207">
        <f>INDEX($A$87:$H$100,MATCH($L95,$B$87:$B$100,0),MATCH($BC$86,$A$87:$H$87,0))*고양시_Modal_split!G$3 * 0.01</f>
        <v>3.2169145275026197E-3</v>
      </c>
      <c r="BH95" s="207">
        <f>INDEX($A$87:$H$100,MATCH($L95,$B$87:$B$100,0),MATCH($BC$86,$A$87:$H$87,0))*고양시_Modal_split!H$3 * 0.01</f>
        <v>3.4966462255463261E-5</v>
      </c>
      <c r="BI95" s="207">
        <f>INDEX($A$87:$H$100,MATCH($L95,$B$87:$B$100,0),MATCH($BC$86,$A$87:$H$87,0))*고양시_Modal_split!I$3 * 0.01</f>
        <v>9.7206765070187856E-3</v>
      </c>
      <c r="BJ95" s="207">
        <f>INDEX($A$87:$H$100,MATCH($L95,$B$87:$B$100,0),MATCH($BC$86,$A$87:$H$87,0))*고양시_Modal_split!J$3 * 0.01</f>
        <v>0.10643791110563017</v>
      </c>
      <c r="BK95" s="207">
        <f>INDEX($A$87:$H$100,MATCH($L95,$B$87:$B$100,0),MATCH($BC$86,$A$87:$H$87,0))*고양시_Modal_split!K$3 * 0.01</f>
        <v>5.2449693383194889E-4</v>
      </c>
      <c r="BL95" s="207">
        <f>INDEX($A$87:$H$100,MATCH($L95,$B$87:$B$100,0),MATCH($BC$86,$A$87:$H$87,0))*고양시_Modal_split!L$3 * 0.01</f>
        <v>1.0559871601149904E-2</v>
      </c>
      <c r="BM95" s="207">
        <f>INDEX($A$87:$H$100,MATCH($L95,$B$87:$B$100,0),MATCH($BC$86,$A$87:$H$87,0))*고양시_Modal_split!M$3 * 0.01</f>
        <v>8.0422863187565492E-4</v>
      </c>
      <c r="BN95" s="207">
        <f>INDEX($A$87:$H$100,MATCH($L95,$B$87:$B$100,0),MATCH($BC$86,$A$87:$H$87,0))*고양시_Modal_split!N$3 * 0.01</f>
        <v>3.4966462255463259E-4</v>
      </c>
      <c r="BO95" s="207">
        <f>INDEX($A$87:$H$100,MATCH($L95,$B$87:$B$100,0),MATCH($BC$86,$A$87:$H$87,0))*고양시_Modal_split!O$3 * 0.01</f>
        <v>6.2939632059833873E-4</v>
      </c>
      <c r="BP95" s="207">
        <f>INDEX($A$87:$H$100,MATCH($L95,$B$87:$B$100,0),MATCH($BC$86,$A$87:$H$87,0))*고양시_Modal_split!P$3 * 0.01</f>
        <v>0.34966462255463265</v>
      </c>
      <c r="BQ95" s="207">
        <f>INDEX($A$87:$H$100,MATCH($L95,$B$87:$B$100,0),MATCH($BQ$86,$A$87:$H$87,0))*고양시_Modal_split!C$3 * 0.01</f>
        <v>3.6986746741334586E-3</v>
      </c>
      <c r="BR95" s="207">
        <f>INDEX($A$87:$H$100,MATCH($L95,$B$87:$B$100,0),MATCH($BQ$86,$A$87:$H$87,0))*고양시_Modal_split!D$3 * 0.01</f>
        <v>0.6212452497303449</v>
      </c>
      <c r="BS95" s="207">
        <f>INDEX($A$87:$H$100,MATCH($L95,$B$87:$B$100,0),MATCH($BQ$86,$A$87:$H$87,0))*고양시_Modal_split!E$3 * 0.01</f>
        <v>7.5162353199354923E-2</v>
      </c>
      <c r="BT95" s="207">
        <f>INDEX($A$87:$H$100,MATCH($L95,$B$87:$B$100,0),MATCH($BQ$86,$A$87:$H$87,0))*고양시_Modal_split!F$3 * 0.01</f>
        <v>0.12113159557787079</v>
      </c>
      <c r="BU95" s="207">
        <f>INDEX($A$87:$H$100,MATCH($L95,$B$87:$B$100,0),MATCH($BQ$86,$A$87:$H$87,0))*고양시_Modal_split!G$3 * 0.01</f>
        <v>1.2152788215009936E-2</v>
      </c>
      <c r="BV95" s="207">
        <f>INDEX($A$87:$H$100,MATCH($L95,$B$87:$B$100,0),MATCH($BQ$86,$A$87:$H$87,0))*고양시_Modal_split!H$3 * 0.01</f>
        <v>1.3209552407619497E-4</v>
      </c>
      <c r="BW95" s="207">
        <f>INDEX($A$87:$H$100,MATCH($L95,$B$87:$B$100,0),MATCH($BQ$86,$A$87:$H$87,0))*고양시_Modal_split!I$3 * 0.01</f>
        <v>3.6722555693182196E-2</v>
      </c>
      <c r="BX95" s="207">
        <f>INDEX($A$87:$H$100,MATCH($L95,$B$87:$B$100,0),MATCH($BQ$86,$A$87:$H$87,0))*고양시_Modal_split!J$3 * 0.01</f>
        <v>0.40209877528793747</v>
      </c>
      <c r="BY95" s="207">
        <f>INDEX($A$87:$H$100,MATCH($L95,$B$87:$B$100,0),MATCH($BQ$86,$A$87:$H$87,0))*고양시_Modal_split!K$3 * 0.01</f>
        <v>1.9814328611429243E-3</v>
      </c>
      <c r="BZ95" s="207">
        <f>INDEX($A$87:$H$100,MATCH($L95,$B$87:$B$100,0),MATCH($BQ$86,$A$87:$H$87,0))*고양시_Modal_split!L$3 * 0.01</f>
        <v>3.9892848271010875E-2</v>
      </c>
      <c r="CA95" s="207">
        <f>INDEX($A$87:$H$100,MATCH($L95,$B$87:$B$100,0),MATCH($BQ$86,$A$87:$H$87,0))*고양시_Modal_split!M$3 * 0.01</f>
        <v>3.0381970537524841E-3</v>
      </c>
      <c r="CB95" s="207">
        <f>INDEX($A$87:$H$100,MATCH($L95,$B$87:$B$100,0),MATCH($BQ$86,$A$87:$H$87,0))*고양시_Modal_split!N$3 * 0.01</f>
        <v>1.3209552407619496E-3</v>
      </c>
      <c r="CC95" s="207">
        <f>INDEX($A$87:$H$100,MATCH($L95,$B$87:$B$100,0),MATCH($BQ$86,$A$87:$H$87,0))*고양시_Modal_split!O$3 * 0.01</f>
        <v>2.3777194333715092E-3</v>
      </c>
      <c r="CD95" s="207">
        <f>INDEX($A$87:$H$100,MATCH($L95,$B$87:$B$100,0),MATCH($BQ$86,$A$87:$H$87,0))*고양시_Modal_split!P$3 * 0.01</f>
        <v>1.3209552407619496</v>
      </c>
      <c r="CE95" s="304">
        <f t="shared" si="69"/>
        <v>12.988222471867367</v>
      </c>
      <c r="CF95" s="304">
        <f t="shared" si="51"/>
        <v>2181.5575101854365</v>
      </c>
      <c r="CG95" s="304">
        <f t="shared" si="52"/>
        <v>263.93923523187613</v>
      </c>
      <c r="CH95" s="304">
        <f t="shared" si="53"/>
        <v>425.36428595365635</v>
      </c>
      <c r="CI95" s="304">
        <f t="shared" si="54"/>
        <v>42.67558812184992</v>
      </c>
      <c r="CJ95" s="304">
        <f t="shared" si="55"/>
        <v>0.46386508828097744</v>
      </c>
      <c r="CK95" s="304">
        <f t="shared" si="56"/>
        <v>128.95449454211172</v>
      </c>
      <c r="CL95" s="304">
        <f t="shared" si="57"/>
        <v>1412.0053287272954</v>
      </c>
      <c r="CM95" s="304">
        <f t="shared" si="58"/>
        <v>6.9579763242146617</v>
      </c>
      <c r="CN95" s="304">
        <f t="shared" si="59"/>
        <v>140.08725666085519</v>
      </c>
      <c r="CO95" s="304">
        <f t="shared" si="60"/>
        <v>10.66889703046248</v>
      </c>
      <c r="CP95" s="304">
        <f t="shared" si="61"/>
        <v>4.6386508828097739</v>
      </c>
      <c r="CQ95" s="304">
        <f t="shared" si="62"/>
        <v>8.3495715890575912</v>
      </c>
      <c r="CR95" s="304">
        <f t="shared" si="63"/>
        <v>4638.650882809774</v>
      </c>
      <c r="CS95" s="305">
        <f t="shared" si="70"/>
        <v>0</v>
      </c>
      <c r="CV95" s="267" t="s">
        <v>168</v>
      </c>
      <c r="CW95" s="267" t="s">
        <v>168</v>
      </c>
      <c r="CX95" s="267">
        <f>INDEX($M$86:$Z$100,MATCH($CW95,$L$86:$L$100,0),MATCH(CX$87,$M$87:$Z$87,0))/INDEX(고양시_재차인원!$D$4:$H$35,MATCH("고양시",고양시_재차인원!$B$4:$B$35,0),MATCH($CX$86,고양시_재차인원!$D$4:$H$4,0))</f>
        <v>225.03826089234161</v>
      </c>
      <c r="CY95" s="267">
        <f>INDEX($M$86:$Z$100,MATCH($CW95,$L$86:$L$100,0),MATCH(CY$87,$M$87:$Z$87,0))/INDEX(고양시_재차인원!$K$4:$O$20,MATCH("경기도",고양시_재차인원!$K$4:$K$20,0),MATCH($CY$87,고양시_재차인원!$K$4:$O$4,0))</f>
        <v>1.861477288996416E-3</v>
      </c>
      <c r="CZ95" s="267">
        <f>INDEX($M$86:$Z$100,MATCH($CW95,$L$86:$L$100,0),MATCH(CZ$87,$M$87:$Z$87,0))/INDEX(고양시_재차인원!$K$4:$O$20,MATCH("경기도",고양시_재차인원!$K$4:$K$20,0),MATCH($CZ$87,고양시_재차인원!$K$4:$O$4,0))</f>
        <v>0.51749068634100359</v>
      </c>
      <c r="DA95" s="267">
        <f>INDEX($M$86:$Z$100,MATCH($CW95,$L$86:$L$100,0),MATCH(DA$87,$M$87:$Z$87,0))/INDEX(고양시_재차인원!$D$4:$H$35,MATCH("고양시",고양시_재차인원!$B$4:$B$35,0),MATCH($CX$86,고양시_재차인원!$D$4:$H$4,0))</f>
        <v>14.45068143514505</v>
      </c>
      <c r="DB95" s="267">
        <f>INDEX($AA$86:$AN$100,MATCH($CW95,$L$86:$L$100,0),MATCH(DB$87,$AA$87:$AN$87,0))/INDEX(고양시_재차인원!$D$4:$H$35,MATCH("고양시",고양시_재차인원!$B$4:$B$35,0),MATCH($DB$86,고양시_재차인원!$D$4:$H$4,0))</f>
        <v>1293.6777905836545</v>
      </c>
      <c r="DC95" s="267">
        <f>INDEX($AA$86:$AN$100,MATCH($CW95,$L$86:$L$100,0),MATCH(DC$87,$AA$87:$AN$87,0))/INDEX(고양시_재차인원!$K$4:$O$20,MATCH("경기도",고양시_재차인원!$K$4:$K$20,0),MATCH(DC$87,고양시_재차인원!$K$4:$O$4,0))</f>
        <v>1.3471891964659456E-2</v>
      </c>
      <c r="DD95" s="267">
        <f>INDEX($AA$86:$AN$100,MATCH($CW95,$L$86:$L$100,0),MATCH(DD$87,$AA$87:$AN$87,0))/INDEX(고양시_재차인원!$K$4:$O$20,MATCH("경기도",고양시_재차인원!$K$4:$K$20,0),MATCH(DD$87,고양시_재차인원!$K$4:$O$4,0))</f>
        <v>3.7451859661753288</v>
      </c>
      <c r="DE95" s="267">
        <f>INDEX($AA$86:$AN$100,MATCH($CW95,$L$86:$L$100,0),MATCH(DE$87,$AA$87:$AN$87,0))/INDEX(고양시_재차인원!$D$4:$H$35,MATCH("고양시",고양시_재차인원!$B$4:$B$35,0),MATCH($DB$86,고양시_재차인원!$D$4:$H$4,0))</f>
        <v>83.072654211410509</v>
      </c>
      <c r="DF95" s="267">
        <f>INDEX($AO$86:$BB$100,MATCH($CW95,$L$86:$L$100,0),MATCH(DF$87,$AO$87:$BB$87,0))/INDEX(고양시_재차인원!$D$4:$H$35,MATCH("고양시",고양시_재차인원!$B$4:$B$35,0),MATCH($DF$86,고양시_재차인원!$D$4:$H$4,0))</f>
        <v>80.494831339495207</v>
      </c>
      <c r="DG95" s="267">
        <f>INDEX($AO$86:$BB$100,MATCH($CW95,$L$86:$L$100,0),MATCH(DG$87,$AO$87:$BB$87,0))/INDEX(고양시_재차인원!$K$4:$O$20,MATCH("경기도",고양시_재차인원!$K$4:$K$20,0),MATCH(DG$87,고양시_재차인원!$K$4:$O$4,0))</f>
        <v>7.7284909627972252E-4</v>
      </c>
      <c r="DH95" s="267">
        <f>INDEX($AO$86:$BB$100,MATCH($CW95,$L$86:$L$100,0),MATCH(DH$87,$AO$87:$BB$87,0))/INDEX(고양시_재차인원!$K$4:$O$20,MATCH("경기도",고양시_재차인원!$K$4:$K$20,0),MATCH(DH$87,고양시_재차인원!$K$4:$O$4,0))</f>
        <v>0.21485204876576283</v>
      </c>
      <c r="DI95" s="267">
        <f>INDEX($AO$86:$BB$100,MATCH($CW95,$L$86:$L$100,0),MATCH(DI$87,$AO$87:$BB$87,0))/INDEX(고양시_재차인원!$D$4:$H$35,MATCH("고양시",고양시_재차인원!$B$4:$B$35,0),MATCH($DF$86,고양시_재차인원!$D$4:$H$4,0))</f>
        <v>5.1689217657936535</v>
      </c>
      <c r="DJ95" s="267">
        <f>INDEX($BC$86:$BP$100,MATCH($CW95,$L$86:$L$100,0),MATCH(DJ$87,$BC$87:$BP$87,0))/INDEX(고양시_재차인원!$D$4:$H$35,MATCH("고양시",고양시_재차인원!$B$4:$B$35,0),MATCH($DJ$86,고양시_재차인원!$D$4:$H$4,0))</f>
        <v>0.12091711175547332</v>
      </c>
      <c r="DK95" s="267">
        <f>INDEX($BC$86:$BP$100,MATCH($CW95,$L$86:$L$100,0),MATCH(DK$87,$BC$87:$BP$87,0))/INDEX(고양시_재차인원!$K$4:$O$20,MATCH("경기도",고양시_재차인원!$K$4:$K$20,0),MATCH(DK$87,고양시_재차인원!$K$4:$O$4,0))</f>
        <v>1.2145349862960493E-6</v>
      </c>
      <c r="DL95" s="267">
        <f>INDEX($BC$86:$BP$100,MATCH($CW95,$L$86:$L$100,0),MATCH(DL$87,$BC$87:$BP$87,0))/INDEX(고양시_재차인원!$K$4:$O$20,MATCH("경기도",고양시_재차인원!$K$4:$K$20,0),MATCH(DL$87,고양시_재차인원!$K$4:$O$4,0))</f>
        <v>3.3764072619030168E-4</v>
      </c>
      <c r="DM95" s="267">
        <f>INDEX($BC$86:$BP$100,MATCH($CW95,$L$86:$L$100,0),MATCH(DM$87,$BC$87:$BP$87,0))/INDEX(고양시_재차인원!$D$4:$H$35,MATCH("고양시",고양시_재차인원!$B$4:$B$35,0),MATCH($DJ$86,고양시_재차인원!$D$4:$H$4,0))</f>
        <v>7.7646114714337525E-3</v>
      </c>
      <c r="DN95" s="267">
        <f>INDEX($BQ$86:$CD$100,MATCH($CW95,$L$86:$L$100,0),MATCH(DN$87,$BQ$87:$CD$87,0))/INDEX(고양시_재차인원!$D$4:$H$35,MATCH("고양시",고양시_재차인원!$B$4:$B$35,0),MATCH($DN$86,고양시_재차인원!$D$4:$H$4,0))</f>
        <v>0.49305178550027373</v>
      </c>
      <c r="DO95" s="267">
        <f>INDEX($BQ$86:$CD$100,MATCH($CW95,$L$86:$L$100,0),MATCH(DO$87,$BQ$87:$CD$87,0))/INDEX(고양시_재차인원!$K$4:$O$20,MATCH("경기도",고양시_재차인원!$K$4:$K$20,0),MATCH(DO$87,고양시_재차인원!$K$4:$O$4,0))</f>
        <v>4.588243281562868E-6</v>
      </c>
      <c r="DP95" s="267">
        <f>INDEX($BQ$86:$CD$100,MATCH($CW95,$L$86:$L$100,0),MATCH(DP$87,$BQ$87:$CD$87,0))/INDEX(고양시_재차인원!$K$4:$O$20,MATCH("경기도",고양시_재차인원!$K$4:$K$20,0),MATCH(DP$87,고양시_재차인원!$K$4:$O$4,0))</f>
        <v>1.2755316322744772E-3</v>
      </c>
      <c r="DQ95" s="267">
        <f>INDEX($BQ$86:$CD$100,MATCH($CW95,$L$86:$L$100,0),MATCH(DQ$87,$BQ$87:$CD$87,0))/INDEX(고양시_재차인원!$D$4:$H$35,MATCH("고양시",고양시_재차인원!$B$4:$B$35,0),MATCH($DN$86,고양시_재차인원!$D$4:$H$4,0))</f>
        <v>3.1660990691278472E-2</v>
      </c>
      <c r="DR95" s="270">
        <f t="shared" si="71"/>
        <v>1599.8248517127472</v>
      </c>
      <c r="DS95" s="270">
        <f t="shared" si="64"/>
        <v>1.6112021128203452E-2</v>
      </c>
      <c r="DT95" s="270">
        <f t="shared" si="65"/>
        <v>4.4791418736405602</v>
      </c>
      <c r="DU95" s="270">
        <f t="shared" si="66"/>
        <v>102.73168301451192</v>
      </c>
      <c r="DW95" s="278" t="s">
        <v>168</v>
      </c>
      <c r="DX95" s="278" t="s">
        <v>168</v>
      </c>
      <c r="DY95" s="281">
        <f t="shared" si="72"/>
        <v>1702.5565347272591</v>
      </c>
      <c r="DZ95" s="281">
        <f t="shared" si="73"/>
        <v>4.4952538947687639</v>
      </c>
      <c r="EB95" s="278" t="s">
        <v>47</v>
      </c>
      <c r="EC95" s="278" t="s">
        <v>47</v>
      </c>
      <c r="ED95" s="281">
        <f t="shared" ref="ED95:ED99" si="81">DY96</f>
        <v>258.81631758433537</v>
      </c>
      <c r="EE95" s="281">
        <f t="shared" si="80"/>
        <v>0.68335179238971389</v>
      </c>
      <c r="EK95" s="420" t="s">
        <v>168</v>
      </c>
      <c r="EL95" s="420" t="s">
        <v>168</v>
      </c>
      <c r="EM95" s="420" t="s">
        <v>79</v>
      </c>
      <c r="EN95" s="420">
        <v>36231.236499999999</v>
      </c>
      <c r="EO95" s="420">
        <v>0.21506476976864181</v>
      </c>
      <c r="EP95" s="421">
        <v>849008</v>
      </c>
      <c r="EQ95" s="422">
        <f t="shared" si="75"/>
        <v>355.72437117817697</v>
      </c>
      <c r="ER95" s="422">
        <f t="shared" si="76"/>
        <v>0.93921777772802861</v>
      </c>
      <c r="ES95">
        <v>0</v>
      </c>
      <c r="EU95" s="306" t="s">
        <v>168</v>
      </c>
      <c r="EV95" s="306" t="s">
        <v>168</v>
      </c>
      <c r="EW95" s="306" t="s">
        <v>79</v>
      </c>
      <c r="EX95" s="306">
        <v>36231.236499999999</v>
      </c>
      <c r="EY95" s="306">
        <v>0.21506476976864181</v>
      </c>
      <c r="EZ95" s="307">
        <v>849008</v>
      </c>
      <c r="FA95" s="308">
        <f t="shared" si="77"/>
        <v>355.72437117817697</v>
      </c>
      <c r="FB95" s="308">
        <f t="shared" si="68"/>
        <v>0.93921777772802861</v>
      </c>
      <c r="FD95" s="101"/>
      <c r="FE95" s="101"/>
      <c r="FF95" s="101"/>
      <c r="FG95" s="101"/>
      <c r="FH95" s="101"/>
      <c r="FI95" s="374"/>
      <c r="FJ95" s="404"/>
      <c r="FK95" s="404"/>
    </row>
    <row r="96" spans="1:167" ht="25">
      <c r="A96" s="205" t="s">
        <v>47</v>
      </c>
      <c r="B96" s="205" t="s">
        <v>47</v>
      </c>
      <c r="C96" s="201">
        <f>$K37*KTDB_TripDistribution_2035!T$12</f>
        <v>81.468462219092984</v>
      </c>
      <c r="D96" s="201">
        <f>$K37*KTDB_TripDistribution_2035!U$12</f>
        <v>589.60392803625268</v>
      </c>
      <c r="E96" s="201">
        <f>$K37*KTDB_TripDistribution_2035!V$12</f>
        <v>33.82411795916677</v>
      </c>
      <c r="F96" s="201">
        <f>$K37*KTDB_TripDistribution_2035!W$12</f>
        <v>5.3154716541382867E-2</v>
      </c>
      <c r="G96" s="201">
        <f>$K37*KTDB_TripDistribution_2035!X$12</f>
        <v>0.20080670693411368</v>
      </c>
      <c r="H96" s="201">
        <f>$K37*KTDB_TripDistribution_2035!Y$12</f>
        <v>705.15046963798795</v>
      </c>
      <c r="I96" s="56"/>
      <c r="J96" s="56"/>
      <c r="K96" s="206" t="s">
        <v>47</v>
      </c>
      <c r="L96" s="206" t="s">
        <v>47</v>
      </c>
      <c r="M96" s="206">
        <f>INDEX($A$87:$H$100,MATCH($L96,$B$87:$B$100,0),MATCH($M$86,$A$87:$H$87,0))*고양시_Modal_split!C$3 * 0.01</f>
        <v>0.22811169421346034</v>
      </c>
      <c r="N96" s="206">
        <f>INDEX($A$87:$H$100,MATCH($L96,$B$87:$B$100,0),MATCH($M$86,$A$87:$H$87,0))*고양시_Modal_split!D$3 * 0.01</f>
        <v>38.314617781639434</v>
      </c>
      <c r="O96" s="206">
        <f>INDEX($A$87:$H$100,MATCH($L96,$B$87:$B$100,0),MATCH($M$86,$A$87:$H$87,0))*고양시_Modal_split!E$3 * 0.01</f>
        <v>4.6355555002663902</v>
      </c>
      <c r="P96" s="206">
        <f>INDEX($A$87:$H$100,MATCH($L96,$B$87:$B$100,0),MATCH($M$86,$A$87:$H$87,0))*고양시_Modal_split!F$3 * 0.01</f>
        <v>7.4706579854908259</v>
      </c>
      <c r="Q96" s="206">
        <f>INDEX($A$87:$H$100,MATCH($L96,$B$87:$B$100,0),MATCH($M$86,$A$87:$H$87,0))*고양시_Modal_split!G$3 * 0.01</f>
        <v>0.74950985241565538</v>
      </c>
      <c r="R96" s="206">
        <f>INDEX($A$87:$H$100,MATCH($L96,$B$87:$B$100,0),MATCH($M$86,$A$87:$H$87,0))*고양시_Modal_split!H$3 * 0.01</f>
        <v>8.1468462219092992E-3</v>
      </c>
      <c r="S96" s="206">
        <f>INDEX($A$87:$H$100,MATCH($L96,$B$87:$B$100,0),MATCH($M$86,$A$87:$H$87,0))*고양시_Modal_split!I$3 * 0.01</f>
        <v>2.2648232496907847</v>
      </c>
      <c r="T96" s="206">
        <f>INDEX($A$87:$H$100,MATCH($L96,$B$87:$B$100,0),MATCH($M$86,$A$87:$H$87,0))*고양시_Modal_split!J$3 * 0.01</f>
        <v>24.798999899491907</v>
      </c>
      <c r="U96" s="206">
        <f>INDEX($A$87:$H$100,MATCH($L96,$B$87:$B$100,0),MATCH($M$86,$A$87:$H$87,0))*고양시_Modal_split!K$3 * 0.01</f>
        <v>0.12220269332863948</v>
      </c>
      <c r="V96" s="206">
        <f>INDEX($A$87:$H$100,MATCH($L96,$B$87:$B$100,0),MATCH($M$86,$A$87:$H$87,0))*고양시_Modal_split!L$3 * 0.01</f>
        <v>2.4603475590166082</v>
      </c>
      <c r="W96" s="206">
        <f>INDEX($A$87:$H$100,MATCH($L96,$B$87:$B$100,0),MATCH($M$86,$A$87:$H$87,0))*고양시_Modal_split!M$3 * 0.01</f>
        <v>0.18737746310391384</v>
      </c>
      <c r="X96" s="206">
        <f>INDEX($A$87:$H$100,MATCH($L96,$B$87:$B$100,0),MATCH($M$86,$A$87:$H$87,0))*고양시_Modal_split!N$3 * 0.01</f>
        <v>8.1468462219092985E-2</v>
      </c>
      <c r="Y96" s="206">
        <f>INDEX($A$87:$H$100,MATCH($L96,$B$87:$B$100,0),MATCH($M$86,$A$87:$H$87,0))*고양시_Modal_split!O$3 * 0.01</f>
        <v>0.14664323199436738</v>
      </c>
      <c r="Z96" s="209">
        <f>INDEX($A$87:$H$100,MATCH($L96,$B$87:$B$100,0),MATCH($M$86,$A$87:$H$87,0))*고양시_Modal_split!P$3 * 0.01</f>
        <v>81.468462219092984</v>
      </c>
      <c r="AA96" s="207">
        <f>INDEX($A$87:$H$100,MATCH($L96,$B$87:$B$100,0),MATCH($AA$86,$A$87:$H$87,0))*고양시_Modal_split!C$3 * 0.01</f>
        <v>1.6508909985015074</v>
      </c>
      <c r="AB96" s="207">
        <f>INDEX($A$87:$H$100,MATCH($L96,$B$87:$B$100,0),MATCH($AA$86,$A$87:$H$87,0))*고양시_Modal_split!D$3 * 0.01</f>
        <v>277.29072735544963</v>
      </c>
      <c r="AC96" s="207">
        <f>INDEX($A$87:$H$100,MATCH($L96,$B$87:$B$100,0),MATCH($AA$86,$A$87:$H$87,0))*고양시_Modal_split!E$3 * 0.01</f>
        <v>33.548463505262774</v>
      </c>
      <c r="AD96" s="207">
        <f>INDEX($A$87:$H$100,MATCH($L96,$B$87:$B$100,0),MATCH($AA$86,$A$87:$H$87,0))*고양시_Modal_split!F$3 * 0.01</f>
        <v>54.066680200924374</v>
      </c>
      <c r="AE96" s="207">
        <f>INDEX($A$87:$H$100,MATCH($L96,$B$87:$B$100,0),MATCH($AA$86,$A$87:$H$87,0))*고양시_Modal_split!G$3 * 0.01</f>
        <v>5.4243561379335246</v>
      </c>
      <c r="AF96" s="207">
        <f>INDEX($A$87:$H$100,MATCH($L96,$B$87:$B$100,0),MATCH($AA$86,$A$87:$H$87,0))*고양시_Modal_split!H$3 * 0.01</f>
        <v>5.8960392803625271E-2</v>
      </c>
      <c r="AG96" s="207">
        <f>INDEX($A$87:$H$100,MATCH($L96,$B$87:$B$100,0),MATCH($AA$86,$A$87:$H$87,0))*고양시_Modal_split!I$3 * 0.01</f>
        <v>16.390989199407823</v>
      </c>
      <c r="AH96" s="207">
        <f>INDEX($A$87:$H$100,MATCH($L96,$B$87:$B$100,0),MATCH($AA$86,$A$87:$H$87,0))*고양시_Modal_split!J$3 * 0.01</f>
        <v>179.4754356942353</v>
      </c>
      <c r="AI96" s="207">
        <f>INDEX($A$87:$H$100,MATCH($L96,$B$87:$B$100,0),MATCH($AA$86,$A$87:$H$87,0))*고양시_Modal_split!K$3 * 0.01</f>
        <v>0.88440589205437903</v>
      </c>
      <c r="AJ96" s="207">
        <f>INDEX($A$87:$H$100,MATCH($L96,$B$87:$B$100,0),MATCH($AA$86,$A$87:$H$87,0))*고양시_Modal_split!L$3 * 0.01</f>
        <v>17.806038626694832</v>
      </c>
      <c r="AK96" s="207">
        <f>INDEX($A$87:$H$100,MATCH($L96,$B$87:$B$100,0),MATCH($AA$86,$A$87:$H$87,0))*고양시_Modal_split!M$3 * 0.01</f>
        <v>1.3560890344833811</v>
      </c>
      <c r="AL96" s="207">
        <f>INDEX($A$87:$H$100,MATCH($L96,$B$87:$B$100,0),MATCH($AA$86,$A$87:$H$87,0))*고양시_Modal_split!N$3 * 0.01</f>
        <v>0.58960392803625272</v>
      </c>
      <c r="AM96" s="207">
        <f>INDEX($A$87:$H$100,MATCH($L96,$B$87:$B$100,0),MATCH($AA$86,$A$87:$H$87,0))*고양시_Modal_split!O$3 * 0.01</f>
        <v>1.0612870704652548</v>
      </c>
      <c r="AN96" s="207">
        <f>INDEX($A$87:$H$100,MATCH($L96,$B$87:$B$100,0),MATCH($AA$86,$A$87:$H$87,0))*고양시_Modal_split!P$3 * 0.01</f>
        <v>589.60392803625268</v>
      </c>
      <c r="AO96" s="303">
        <f>INDEX($A$87:$H$100,MATCH($L96,$B$87:$B$100,0),MATCH($AO$86,$A$87:$H$87,0))*고양시_Modal_split!C$3 * 0.01</f>
        <v>9.4707530285666947E-2</v>
      </c>
      <c r="AP96" s="303">
        <f>INDEX($A$87:$H$100,MATCH($L96,$B$87:$B$100,0),MATCH($AO$86,$A$87:$H$87,0))*고양시_Modal_split!D$3 * 0.01</f>
        <v>15.907482676196132</v>
      </c>
      <c r="AQ96" s="303">
        <f>INDEX($A$87:$H$100,MATCH($L96,$B$87:$B$100,0),MATCH($AO$86,$A$87:$H$87,0))*고양시_Modal_split!E$3 * 0.01</f>
        <v>1.9245923118765891</v>
      </c>
      <c r="AR96" s="303">
        <f>INDEX($A$87:$H$100,MATCH($L96,$B$87:$B$100,0),MATCH($AO$86,$A$87:$H$87,0))*고양시_Modal_split!F$3 * 0.01</f>
        <v>3.1016716168555929</v>
      </c>
      <c r="AS96" s="303">
        <f>INDEX($A$87:$H$100,MATCH($L96,$B$87:$B$100,0),MATCH($AO$86,$A$87:$H$87,0))*고양시_Modal_split!G$3 * 0.01</f>
        <v>0.31118188522433426</v>
      </c>
      <c r="AT96" s="303">
        <f>INDEX($A$87:$H$100,MATCH($L96,$B$87:$B$100,0),MATCH($AO$86,$A$87:$H$87,0))*고양시_Modal_split!H$3 * 0.01</f>
        <v>3.3824117959166773E-3</v>
      </c>
      <c r="AU96" s="303">
        <f>INDEX($A$87:$H$100,MATCH($L96,$B$87:$B$100,0),MATCH($AO$86,$A$87:$H$87,0))*고양시_Modal_split!I$3 * 0.01</f>
        <v>0.94031047926483613</v>
      </c>
      <c r="AV96" s="303">
        <f>INDEX($A$87:$H$100,MATCH($L96,$B$87:$B$100,0),MATCH($AO$86,$A$87:$H$87,0))*고양시_Modal_split!J$3 * 0.01</f>
        <v>10.296061506770366</v>
      </c>
      <c r="AW96" s="303">
        <f>INDEX($A$87:$H$100,MATCH($L96,$B$87:$B$100,0),MATCH($AO$86,$A$87:$H$87,0))*고양시_Modal_split!K$3 * 0.01</f>
        <v>5.0736176938750155E-2</v>
      </c>
      <c r="AX96" s="303">
        <f>INDEX($A$87:$H$100,MATCH($L96,$B$87:$B$100,0),MATCH($AO$86,$A$87:$H$87,0))*고양시_Modal_split!L$3 * 0.01</f>
        <v>1.0214883623668365</v>
      </c>
      <c r="AY96" s="303">
        <f>INDEX($A$87:$H$100,MATCH($L96,$B$87:$B$100,0),MATCH($AO$86,$A$87:$H$87,0))*고양시_Modal_split!M$3 * 0.01</f>
        <v>7.7795471306083566E-2</v>
      </c>
      <c r="AZ96" s="303">
        <f>INDEX($A$87:$H$100,MATCH($L96,$B$87:$B$100,0),MATCH($AO$86,$A$87:$H$87,0))*고양시_Modal_split!N$3 * 0.01</f>
        <v>3.3824117959166775E-2</v>
      </c>
      <c r="BA96" s="207">
        <f>INDEX($A$87:$H$100,MATCH($L96,$B$87:$B$100,0),MATCH($AO$86,$A$87:$H$87,0))*고양시_Modal_split!O$3 * 0.01</f>
        <v>6.0883412326500186E-2</v>
      </c>
      <c r="BB96" s="207">
        <f>INDEX($A$87:$H$100,MATCH($L96,$B$87:$B$100,0),MATCH($AO$86,$A$87:$H$87,0))*고양시_Modal_split!P$3 * 0.01</f>
        <v>33.82411795916677</v>
      </c>
      <c r="BC96" s="207">
        <f>INDEX($A$87:$H$100,MATCH($L96,$B$87:$B$100,0),MATCH($BC$86,$A$87:$H$87,0))*고양시_Modal_split!C$3 * 0.01</f>
        <v>1.4883320631587201E-4</v>
      </c>
      <c r="BD96" s="207">
        <f>INDEX($A$87:$H$100,MATCH($L96,$B$87:$B$100,0),MATCH($BC$86,$A$87:$H$87,0))*고양시_Modal_split!D$3 * 0.01</f>
        <v>2.4998663189412365E-2</v>
      </c>
      <c r="BE96" s="207">
        <f>INDEX($A$87:$H$100,MATCH($L96,$B$87:$B$100,0),MATCH($BC$86,$A$87:$H$87,0))*고양시_Modal_split!E$3 * 0.01</f>
        <v>3.024503371204685E-3</v>
      </c>
      <c r="BF96" s="207">
        <f>INDEX($A$87:$H$100,MATCH($L96,$B$87:$B$100,0),MATCH($BC$86,$A$87:$H$87,0))*고양시_Modal_split!F$3 * 0.01</f>
        <v>4.8742875068448089E-3</v>
      </c>
      <c r="BG96" s="207">
        <f>INDEX($A$87:$H$100,MATCH($L96,$B$87:$B$100,0),MATCH($BC$86,$A$87:$H$87,0))*고양시_Modal_split!G$3 * 0.01</f>
        <v>4.8902339218072236E-4</v>
      </c>
      <c r="BH96" s="207">
        <f>INDEX($A$87:$H$100,MATCH($L96,$B$87:$B$100,0),MATCH($BC$86,$A$87:$H$87,0))*고양시_Modal_split!H$3 * 0.01</f>
        <v>5.3154716541382867E-6</v>
      </c>
      <c r="BI96" s="207">
        <f>INDEX($A$87:$H$100,MATCH($L96,$B$87:$B$100,0),MATCH($BC$86,$A$87:$H$87,0))*고양시_Modal_split!I$3 * 0.01</f>
        <v>1.4777011198504437E-3</v>
      </c>
      <c r="BJ96" s="207">
        <f>INDEX($A$87:$H$100,MATCH($L96,$B$87:$B$100,0),MATCH($BC$86,$A$87:$H$87,0))*고양시_Modal_split!J$3 * 0.01</f>
        <v>1.6180295715196948E-2</v>
      </c>
      <c r="BK96" s="207">
        <f>INDEX($A$87:$H$100,MATCH($L96,$B$87:$B$100,0),MATCH($BC$86,$A$87:$H$87,0))*고양시_Modal_split!K$3 * 0.01</f>
        <v>7.9732074812074289E-5</v>
      </c>
      <c r="BL96" s="207">
        <f>INDEX($A$87:$H$100,MATCH($L96,$B$87:$B$100,0),MATCH($BC$86,$A$87:$H$87,0))*고양시_Modal_split!L$3 * 0.01</f>
        <v>1.6052724395497625E-3</v>
      </c>
      <c r="BM96" s="207">
        <f>INDEX($A$87:$H$100,MATCH($L96,$B$87:$B$100,0),MATCH($BC$86,$A$87:$H$87,0))*고양시_Modal_split!M$3 * 0.01</f>
        <v>1.2225584804518059E-4</v>
      </c>
      <c r="BN96" s="207">
        <f>INDEX($A$87:$H$100,MATCH($L96,$B$87:$B$100,0),MATCH($BC$86,$A$87:$H$87,0))*고양시_Modal_split!N$3 * 0.01</f>
        <v>5.3154716541382875E-5</v>
      </c>
      <c r="BO96" s="207">
        <f>INDEX($A$87:$H$100,MATCH($L96,$B$87:$B$100,0),MATCH($BC$86,$A$87:$H$87,0))*고양시_Modal_split!O$3 * 0.01</f>
        <v>9.5678489774489155E-5</v>
      </c>
      <c r="BP96" s="207">
        <f>INDEX($A$87:$H$100,MATCH($L96,$B$87:$B$100,0),MATCH($BC$86,$A$87:$H$87,0))*고양시_Modal_split!P$3 * 0.01</f>
        <v>5.3154716541382867E-2</v>
      </c>
      <c r="BQ96" s="207">
        <f>INDEX($A$87:$H$100,MATCH($L96,$B$87:$B$100,0),MATCH($BQ$86,$A$87:$H$87,0))*고양시_Modal_split!C$3 * 0.01</f>
        <v>5.6225877941551829E-4</v>
      </c>
      <c r="BR96" s="207">
        <f>INDEX($A$87:$H$100,MATCH($L96,$B$87:$B$100,0),MATCH($BQ$86,$A$87:$H$87,0))*고양시_Modal_split!D$3 * 0.01</f>
        <v>9.4439394271113669E-2</v>
      </c>
      <c r="BS96" s="207">
        <f>INDEX($A$87:$H$100,MATCH($L96,$B$87:$B$100,0),MATCH($BQ$86,$A$87:$H$87,0))*고양시_Modal_split!E$3 * 0.01</f>
        <v>1.1425901624551068E-2</v>
      </c>
      <c r="BT96" s="207">
        <f>INDEX($A$87:$H$100,MATCH($L96,$B$87:$B$100,0),MATCH($BQ$86,$A$87:$H$87,0))*고양시_Modal_split!F$3 * 0.01</f>
        <v>1.8413975025858224E-2</v>
      </c>
      <c r="BU96" s="207">
        <f>INDEX($A$87:$H$100,MATCH($L96,$B$87:$B$100,0),MATCH($BQ$86,$A$87:$H$87,0))*고양시_Modal_split!G$3 * 0.01</f>
        <v>1.8474217037938456E-3</v>
      </c>
      <c r="BV96" s="207">
        <f>INDEX($A$87:$H$100,MATCH($L96,$B$87:$B$100,0),MATCH($BQ$86,$A$87:$H$87,0))*고양시_Modal_split!H$3 * 0.01</f>
        <v>2.0080670693411366E-5</v>
      </c>
      <c r="BW96" s="207">
        <f>INDEX($A$87:$H$100,MATCH($L96,$B$87:$B$100,0),MATCH($BQ$86,$A$87:$H$87,0))*고양시_Modal_split!I$3 * 0.01</f>
        <v>5.5824264527683598E-3</v>
      </c>
      <c r="BX96" s="207">
        <f>INDEX($A$87:$H$100,MATCH($L96,$B$87:$B$100,0),MATCH($BQ$86,$A$87:$H$87,0))*고양시_Modal_split!J$3 * 0.01</f>
        <v>6.1125561590744212E-2</v>
      </c>
      <c r="BY96" s="207">
        <f>INDEX($A$87:$H$100,MATCH($L96,$B$87:$B$100,0),MATCH($BQ$86,$A$87:$H$87,0))*고양시_Modal_split!K$3 * 0.01</f>
        <v>3.012100604011705E-4</v>
      </c>
      <c r="BZ96" s="207">
        <f>INDEX($A$87:$H$100,MATCH($L96,$B$87:$B$100,0),MATCH($BQ$86,$A$87:$H$87,0))*고양시_Modal_split!L$3 * 0.01</f>
        <v>6.0643625494102328E-3</v>
      </c>
      <c r="CA96" s="207">
        <f>INDEX($A$87:$H$100,MATCH($L96,$B$87:$B$100,0),MATCH($BQ$86,$A$87:$H$87,0))*고양시_Modal_split!M$3 * 0.01</f>
        <v>4.618554259484614E-4</v>
      </c>
      <c r="CB96" s="207">
        <f>INDEX($A$87:$H$100,MATCH($L96,$B$87:$B$100,0),MATCH($BQ$86,$A$87:$H$87,0))*고양시_Modal_split!N$3 * 0.01</f>
        <v>2.0080670693411369E-4</v>
      </c>
      <c r="CC96" s="207">
        <f>INDEX($A$87:$H$100,MATCH($L96,$B$87:$B$100,0),MATCH($BQ$86,$A$87:$H$87,0))*고양시_Modal_split!O$3 * 0.01</f>
        <v>3.6145207248140457E-4</v>
      </c>
      <c r="CD96" s="207">
        <f>INDEX($A$87:$H$100,MATCH($L96,$B$87:$B$100,0),MATCH($BQ$86,$A$87:$H$87,0))*고양시_Modal_split!P$3 * 0.01</f>
        <v>0.20080670693411368</v>
      </c>
      <c r="CE96" s="304">
        <f t="shared" si="69"/>
        <v>1.9744213149863665</v>
      </c>
      <c r="CF96" s="304">
        <f t="shared" si="51"/>
        <v>331.6322658707457</v>
      </c>
      <c r="CG96" s="304">
        <f t="shared" si="52"/>
        <v>40.123061722401509</v>
      </c>
      <c r="CH96" s="304">
        <f t="shared" si="53"/>
        <v>64.662298065803512</v>
      </c>
      <c r="CI96" s="304">
        <f t="shared" si="54"/>
        <v>6.4873843206694888</v>
      </c>
      <c r="CJ96" s="304">
        <f t="shared" si="55"/>
        <v>7.0515046963798803E-2</v>
      </c>
      <c r="CK96" s="304">
        <f t="shared" si="56"/>
        <v>19.603183055936064</v>
      </c>
      <c r="CL96" s="304">
        <f t="shared" si="57"/>
        <v>214.64780295780355</v>
      </c>
      <c r="CM96" s="304">
        <f t="shared" si="58"/>
        <v>1.0577257044569819</v>
      </c>
      <c r="CN96" s="304">
        <f t="shared" si="59"/>
        <v>21.295544183067236</v>
      </c>
      <c r="CO96" s="304">
        <f t="shared" si="60"/>
        <v>1.6218460801673722</v>
      </c>
      <c r="CP96" s="304">
        <f t="shared" si="61"/>
        <v>0.705150469637988</v>
      </c>
      <c r="CQ96" s="304">
        <f t="shared" si="62"/>
        <v>1.2692708453483785</v>
      </c>
      <c r="CR96" s="304">
        <f t="shared" si="63"/>
        <v>705.15046963798795</v>
      </c>
      <c r="CS96" s="305">
        <f t="shared" si="70"/>
        <v>0</v>
      </c>
      <c r="CV96" s="267" t="s">
        <v>47</v>
      </c>
      <c r="CW96" s="267" t="s">
        <v>47</v>
      </c>
      <c r="CX96" s="267">
        <f>INDEX($M$86:$Z$100,MATCH($CW96,$L$86:$L$100,0),MATCH(CX$87,$M$87:$Z$87,0))/INDEX(고양시_재차인원!$D$4:$H$35,MATCH("고양시",고양시_재차인원!$B$4:$B$35,0),MATCH($CX$86,고양시_재차인원!$D$4:$H$4,0))</f>
        <v>34.20948016217806</v>
      </c>
      <c r="CY96" s="267">
        <f>INDEX($M$86:$Z$100,MATCH($CW96,$L$86:$L$100,0),MATCH(CY$87,$M$87:$Z$87,0))/INDEX(고양시_재차인원!$K$4:$O$20,MATCH("경기도",고양시_재차인원!$K$4:$K$20,0),MATCH($CY$87,고양시_재차인원!$K$4:$O$4,0))</f>
        <v>2.8297486008715874E-4</v>
      </c>
      <c r="CZ96" s="267">
        <f>INDEX($M$86:$Z$100,MATCH($CW96,$L$86:$L$100,0),MATCH(CZ$87,$M$87:$Z$87,0))/INDEX(고양시_재차인원!$K$4:$O$20,MATCH("경기도",고양시_재차인원!$K$4:$K$20,0),MATCH($CZ$87,고양시_재차인원!$K$4:$O$4,0))</f>
        <v>7.8667011104230106E-2</v>
      </c>
      <c r="DA96" s="267">
        <f>INDEX($M$86:$Z$100,MATCH($CW96,$L$86:$L$100,0),MATCH(DA$87,$M$87:$Z$87,0))/INDEX(고양시_재차인원!$D$4:$H$35,MATCH("고양시",고양시_재차인원!$B$4:$B$35,0),MATCH($CX$86,고양시_재차인원!$D$4:$H$4,0))</f>
        <v>2.1967388919791144</v>
      </c>
      <c r="DB96" s="267">
        <f>INDEX($AA$86:$AN$100,MATCH($CW96,$L$86:$L$100,0),MATCH(DB$87,$AA$87:$AN$87,0))/INDEX(고양시_재차인원!$D$4:$H$35,MATCH("고양시",고양시_재차인원!$B$4:$B$35,0),MATCH($DB$86,고양시_재차인원!$D$4:$H$4,0))</f>
        <v>196.66009032301395</v>
      </c>
      <c r="DC96" s="267">
        <f>INDEX($AA$86:$AN$100,MATCH($CW96,$L$86:$L$100,0),MATCH(DC$87,$AA$87:$AN$87,0))/INDEX(고양시_재차인원!$K$4:$O$20,MATCH("경기도",고양시_재차인원!$K$4:$K$20,0),MATCH(DC$87,고양시_재차인원!$K$4:$O$4,0))</f>
        <v>2.047946953929325E-3</v>
      </c>
      <c r="DD96" s="267">
        <f>INDEX($AA$86:$AN$100,MATCH($CW96,$L$86:$L$100,0),MATCH(DD$87,$AA$87:$AN$87,0))/INDEX(고양시_재차인원!$K$4:$O$20,MATCH("경기도",고양시_재차인원!$K$4:$K$20,0),MATCH(DD$87,고양시_재차인원!$K$4:$O$4,0))</f>
        <v>0.56932925319235228</v>
      </c>
      <c r="DE96" s="267">
        <f>INDEX($AA$86:$AN$100,MATCH($CW96,$L$86:$L$100,0),MATCH(DE$87,$AA$87:$AN$87,0))/INDEX(고양시_재차인원!$D$4:$H$35,MATCH("고양시",고양시_재차인원!$B$4:$B$35,0),MATCH($DB$86,고양시_재차인원!$D$4:$H$4,0))</f>
        <v>12.628396189145272</v>
      </c>
      <c r="DF96" s="267">
        <f>INDEX($AO$86:$BB$100,MATCH($CW96,$L$86:$L$100,0),MATCH(DF$87,$AO$87:$BB$87,0))/INDEX(고양시_재차인원!$D$4:$H$35,MATCH("고양시",고양시_재차인원!$B$4:$B$35,0),MATCH($DF$86,고양시_재차인원!$D$4:$H$4,0))</f>
        <v>12.236525135535485</v>
      </c>
      <c r="DG96" s="267">
        <f>INDEX($AO$86:$BB$100,MATCH($CW96,$L$86:$L$100,0),MATCH(DG$87,$AO$87:$BB$87,0))/INDEX(고양시_재차인원!$K$4:$O$20,MATCH("경기도",고양시_재차인원!$K$4:$K$20,0),MATCH(DG$87,고양시_재차인원!$K$4:$O$4,0))</f>
        <v>1.1748564765254176E-4</v>
      </c>
      <c r="DH96" s="267">
        <f>INDEX($AO$86:$BB$100,MATCH($CW96,$L$86:$L$100,0),MATCH(DH$87,$AO$87:$BB$87,0))/INDEX(고양시_재차인원!$K$4:$O$20,MATCH("경기도",고양시_재차인원!$K$4:$K$20,0),MATCH(DH$87,고양시_재차인원!$K$4:$O$4,0))</f>
        <v>3.2661010047406604E-2</v>
      </c>
      <c r="DI96" s="267">
        <f>INDEX($AO$86:$BB$100,MATCH($CW96,$L$86:$L$100,0),MATCH(DI$87,$AO$87:$BB$87,0))/INDEX(고양시_재차인원!$D$4:$H$35,MATCH("고양시",고양시_재차인원!$B$4:$B$35,0),MATCH($DF$86,고양시_재차인원!$D$4:$H$4,0))</f>
        <v>0.78576027874372034</v>
      </c>
      <c r="DJ96" s="267">
        <f>INDEX($BC$86:$BP$100,MATCH($CW96,$L$86:$L$100,0),MATCH(DJ$87,$BC$87:$BP$87,0))/INDEX(고양시_재차인원!$D$4:$H$35,MATCH("고양시",고양시_재차인원!$B$4:$B$35,0),MATCH($DJ$86,고양시_재차인원!$D$4:$H$4,0))</f>
        <v>1.8381369992214971E-2</v>
      </c>
      <c r="DK96" s="267">
        <f>INDEX($BC$86:$BP$100,MATCH($CW96,$L$86:$L$100,0),MATCH(DK$87,$BC$87:$BP$87,0))/INDEX(고양시_재차인원!$K$4:$O$20,MATCH("경기도",고양시_재차인원!$K$4:$K$20,0),MATCH(DK$87,고양시_재차인원!$K$4:$O$4,0))</f>
        <v>1.8462909531567513E-7</v>
      </c>
      <c r="DL96" s="267">
        <f>INDEX($BC$86:$BP$100,MATCH($CW96,$L$86:$L$100,0),MATCH(DL$87,$BC$87:$BP$87,0))/INDEX(고양시_재차인원!$K$4:$O$20,MATCH("경기도",고양시_재차인원!$K$4:$K$20,0),MATCH(DL$87,고양시_재차인원!$K$4:$O$4,0))</f>
        <v>5.1326888497757684E-5</v>
      </c>
      <c r="DM96" s="267">
        <f>INDEX($BC$86:$BP$100,MATCH($CW96,$L$86:$L$100,0),MATCH(DM$87,$BC$87:$BP$87,0))/INDEX(고양시_재차인원!$D$4:$H$35,MATCH("고양시",고양시_재차인원!$B$4:$B$35,0),MATCH($DJ$86,고양시_재차인원!$D$4:$H$4,0))</f>
        <v>1.1803473820218842E-3</v>
      </c>
      <c r="DN96" s="267">
        <f>INDEX($BQ$86:$CD$100,MATCH($CW96,$L$86:$L$100,0),MATCH(DN$87,$BQ$87:$CD$87,0))/INDEX(고양시_재차인원!$D$4:$H$35,MATCH("고양시",고양시_재차인원!$B$4:$B$35,0),MATCH($DN$86,고양시_재차인원!$D$4:$H$4,0))</f>
        <v>7.4951900215169578E-2</v>
      </c>
      <c r="DO96" s="267">
        <f>INDEX($BQ$86:$CD$100,MATCH($CW96,$L$86:$L$100,0),MATCH(DO$87,$BQ$87:$CD$87,0))/INDEX(고양시_재차인원!$K$4:$O$20,MATCH("경기도",고양시_재차인원!$K$4:$K$20,0),MATCH(DO$87,고양시_재차인원!$K$4:$O$4,0))</f>
        <v>6.9748769341477481E-7</v>
      </c>
      <c r="DP96" s="267">
        <f>INDEX($BQ$86:$CD$100,MATCH($CW96,$L$86:$L$100,0),MATCH(DP$87,$BQ$87:$CD$87,0))/INDEX(고양시_재차인원!$K$4:$O$20,MATCH("경기도",고양시_재차인원!$K$4:$K$20,0),MATCH(DP$87,고양시_재차인원!$K$4:$O$4,0))</f>
        <v>1.9390157876930739E-4</v>
      </c>
      <c r="DQ96" s="267">
        <f>INDEX($BQ$86:$CD$100,MATCH($CW96,$L$86:$L$100,0),MATCH(DQ$87,$BQ$87:$CD$87,0))/INDEX(고양시_재차인원!$D$4:$H$35,MATCH("고양시",고양시_재차인원!$B$4:$B$35,0),MATCH($DN$86,고양시_재차인원!$D$4:$H$4,0))</f>
        <v>4.8129861503255818E-3</v>
      </c>
      <c r="DR96" s="270">
        <f t="shared" si="71"/>
        <v>243.19942889093491</v>
      </c>
      <c r="DS96" s="270">
        <f t="shared" si="64"/>
        <v>2.449289578457756E-3</v>
      </c>
      <c r="DT96" s="270">
        <f t="shared" si="65"/>
        <v>0.68090250281125608</v>
      </c>
      <c r="DU96" s="270">
        <f t="shared" si="66"/>
        <v>15.616888693400453</v>
      </c>
      <c r="DW96" s="278" t="s">
        <v>47</v>
      </c>
      <c r="DX96" s="278" t="s">
        <v>47</v>
      </c>
      <c r="DY96" s="281">
        <f t="shared" si="72"/>
        <v>258.81631758433537</v>
      </c>
      <c r="DZ96" s="281">
        <f t="shared" si="73"/>
        <v>0.68335179238971389</v>
      </c>
      <c r="EB96" s="278" t="s">
        <v>169</v>
      </c>
      <c r="EC96" s="278" t="s">
        <v>169</v>
      </c>
      <c r="ED96" s="281">
        <f t="shared" si="81"/>
        <v>415.23876029157378</v>
      </c>
      <c r="EE96" s="281">
        <f t="shared" si="80"/>
        <v>1.0963534052387109</v>
      </c>
      <c r="EK96" s="420" t="s">
        <v>168</v>
      </c>
      <c r="EL96" s="420" t="s">
        <v>168</v>
      </c>
      <c r="EM96" s="420" t="s">
        <v>223</v>
      </c>
      <c r="EN96" s="420">
        <v>69072.016600000003</v>
      </c>
      <c r="EO96" s="420">
        <v>0.41000415063214324</v>
      </c>
      <c r="EP96" s="421">
        <v>849009</v>
      </c>
      <c r="EQ96" s="422">
        <f t="shared" si="75"/>
        <v>678.16067141521944</v>
      </c>
      <c r="ER96" s="422">
        <f t="shared" si="76"/>
        <v>1.7905451814829867</v>
      </c>
      <c r="ES96">
        <v>0</v>
      </c>
      <c r="EU96" s="306" t="s">
        <v>168</v>
      </c>
      <c r="EV96" s="306" t="s">
        <v>168</v>
      </c>
      <c r="EW96" s="306" t="s">
        <v>223</v>
      </c>
      <c r="EX96" s="306">
        <v>69072.016600000003</v>
      </c>
      <c r="EY96" s="306">
        <v>0.41000415063214324</v>
      </c>
      <c r="EZ96" s="307">
        <v>849009</v>
      </c>
      <c r="FA96" s="308">
        <f t="shared" si="77"/>
        <v>678.16067141521944</v>
      </c>
      <c r="FB96" s="308">
        <f t="shared" si="68"/>
        <v>1.7905451814829867</v>
      </c>
      <c r="FD96" s="101"/>
      <c r="FE96" s="101"/>
      <c r="FF96" s="101"/>
      <c r="FG96" s="101"/>
      <c r="FH96" s="101"/>
      <c r="FI96" s="374"/>
      <c r="FJ96" s="404"/>
      <c r="FK96" s="404"/>
    </row>
    <row r="97" spans="1:167" ht="25">
      <c r="A97" s="205" t="s">
        <v>169</v>
      </c>
      <c r="B97" s="205" t="s">
        <v>169</v>
      </c>
      <c r="C97" s="201">
        <f>$K38*KTDB_TripDistribution_2035!T$12</f>
        <v>130.70606818943688</v>
      </c>
      <c r="D97" s="201">
        <f>$K38*KTDB_TripDistribution_2035!U$12</f>
        <v>945.94655555687336</v>
      </c>
      <c r="E97" s="201">
        <f>$K38*KTDB_TripDistribution_2035!V$12</f>
        <v>54.266612477954652</v>
      </c>
      <c r="F97" s="201">
        <f>$K38*KTDB_TripDistribution_2035!W$12</f>
        <v>8.5280166282798997E-2</v>
      </c>
      <c r="G97" s="201">
        <f>$K38*KTDB_TripDistribution_2035!X$12</f>
        <v>0.32216951706835278</v>
      </c>
      <c r="H97" s="201">
        <f>$K38*KTDB_TripDistribution_2035!Y$12</f>
        <v>1131.3266859076161</v>
      </c>
      <c r="I97" s="56"/>
      <c r="J97" s="56"/>
      <c r="K97" s="206" t="s">
        <v>169</v>
      </c>
      <c r="L97" s="206" t="s">
        <v>169</v>
      </c>
      <c r="M97" s="206">
        <f>INDEX($A$87:$H$100,MATCH($L97,$B$87:$B$100,0),MATCH($M$86,$A$87:$H$87,0))*고양시_Modal_split!C$3 * 0.01</f>
        <v>0.36597699093042324</v>
      </c>
      <c r="N97" s="206">
        <f>INDEX($A$87:$H$100,MATCH($L97,$B$87:$B$100,0),MATCH($M$86,$A$87:$H$87,0))*고양시_Modal_split!D$3 * 0.01</f>
        <v>61.471063869492163</v>
      </c>
      <c r="O97" s="206">
        <f>INDEX($A$87:$H$100,MATCH($L97,$B$87:$B$100,0),MATCH($M$86,$A$87:$H$87,0))*고양시_Modal_split!E$3 * 0.01</f>
        <v>7.4371752799789581</v>
      </c>
      <c r="P97" s="206">
        <f>INDEX($A$87:$H$100,MATCH($L97,$B$87:$B$100,0),MATCH($M$86,$A$87:$H$87,0))*고양시_Modal_split!F$3 * 0.01</f>
        <v>11.985746452971362</v>
      </c>
      <c r="Q97" s="206">
        <f>INDEX($A$87:$H$100,MATCH($L97,$B$87:$B$100,0),MATCH($M$86,$A$87:$H$87,0))*고양시_Modal_split!G$3 * 0.01</f>
        <v>1.2024958273428192</v>
      </c>
      <c r="R97" s="206">
        <f>INDEX($A$87:$H$100,MATCH($L97,$B$87:$B$100,0),MATCH($M$86,$A$87:$H$87,0))*고양시_Modal_split!H$3 * 0.01</f>
        <v>1.3070606818943689E-2</v>
      </c>
      <c r="S97" s="206">
        <f>INDEX($A$87:$H$100,MATCH($L97,$B$87:$B$100,0),MATCH($M$86,$A$87:$H$87,0))*고양시_Modal_split!I$3 * 0.01</f>
        <v>3.6336286956663453</v>
      </c>
      <c r="T97" s="206">
        <f>INDEX($A$87:$H$100,MATCH($L97,$B$87:$B$100,0),MATCH($M$86,$A$87:$H$87,0))*고양시_Modal_split!J$3 * 0.01</f>
        <v>39.786927156864586</v>
      </c>
      <c r="U97" s="206">
        <f>INDEX($A$87:$H$100,MATCH($L97,$B$87:$B$100,0),MATCH($M$86,$A$87:$H$87,0))*고양시_Modal_split!K$3 * 0.01</f>
        <v>0.19605910228415532</v>
      </c>
      <c r="V97" s="206">
        <f>INDEX($A$87:$H$100,MATCH($L97,$B$87:$B$100,0),MATCH($M$86,$A$87:$H$87,0))*고양시_Modal_split!L$3 * 0.01</f>
        <v>3.9473232593209935</v>
      </c>
      <c r="W97" s="206">
        <f>INDEX($A$87:$H$100,MATCH($L97,$B$87:$B$100,0),MATCH($M$86,$A$87:$H$87,0))*고양시_Modal_split!M$3 * 0.01</f>
        <v>0.30062395683570481</v>
      </c>
      <c r="X97" s="206">
        <f>INDEX($A$87:$H$100,MATCH($L97,$B$87:$B$100,0),MATCH($M$86,$A$87:$H$87,0))*고양시_Modal_split!N$3 * 0.01</f>
        <v>0.13070606818943689</v>
      </c>
      <c r="Y97" s="206">
        <f>INDEX($A$87:$H$100,MATCH($L97,$B$87:$B$100,0),MATCH($M$86,$A$87:$H$87,0))*고양시_Modal_split!O$3 * 0.01</f>
        <v>0.23527092274098638</v>
      </c>
      <c r="Z97" s="209">
        <f>INDEX($A$87:$H$100,MATCH($L97,$B$87:$B$100,0),MATCH($M$86,$A$87:$H$87,0))*고양시_Modal_split!P$3 * 0.01</f>
        <v>130.70606818943688</v>
      </c>
      <c r="AA97" s="207">
        <f>INDEX($A$87:$H$100,MATCH($L97,$B$87:$B$100,0),MATCH($AA$86,$A$87:$H$87,0))*고양시_Modal_split!C$3 * 0.01</f>
        <v>2.6486503555592451</v>
      </c>
      <c r="AB97" s="207">
        <f>INDEX($A$87:$H$100,MATCH($L97,$B$87:$B$100,0),MATCH($AA$86,$A$87:$H$87,0))*고양시_Modal_split!D$3 * 0.01</f>
        <v>444.87866507839755</v>
      </c>
      <c r="AC97" s="207">
        <f>INDEX($A$87:$H$100,MATCH($L97,$B$87:$B$100,0),MATCH($AA$86,$A$87:$H$87,0))*고양시_Modal_split!E$3 * 0.01</f>
        <v>53.82435901118609</v>
      </c>
      <c r="AD97" s="207">
        <f>INDEX($A$87:$H$100,MATCH($L97,$B$87:$B$100,0),MATCH($AA$86,$A$87:$H$87,0))*고양시_Modal_split!F$3 * 0.01</f>
        <v>86.743299144565285</v>
      </c>
      <c r="AE97" s="207">
        <f>INDEX($A$87:$H$100,MATCH($L97,$B$87:$B$100,0),MATCH($AA$86,$A$87:$H$87,0))*고양시_Modal_split!G$3 * 0.01</f>
        <v>8.7027083111232351</v>
      </c>
      <c r="AF97" s="207">
        <f>INDEX($A$87:$H$100,MATCH($L97,$B$87:$B$100,0),MATCH($AA$86,$A$87:$H$87,0))*고양시_Modal_split!H$3 * 0.01</f>
        <v>9.4594655555687343E-2</v>
      </c>
      <c r="AG97" s="207">
        <f>INDEX($A$87:$H$100,MATCH($L97,$B$87:$B$100,0),MATCH($AA$86,$A$87:$H$87,0))*고양시_Modal_split!I$3 * 0.01</f>
        <v>26.297314244481075</v>
      </c>
      <c r="AH97" s="207">
        <f>INDEX($A$87:$H$100,MATCH($L97,$B$87:$B$100,0),MATCH($AA$86,$A$87:$H$87,0))*고양시_Modal_split!J$3 * 0.01</f>
        <v>287.94613151151225</v>
      </c>
      <c r="AI97" s="207">
        <f>INDEX($A$87:$H$100,MATCH($L97,$B$87:$B$100,0),MATCH($AA$86,$A$87:$H$87,0))*고양시_Modal_split!K$3 * 0.01</f>
        <v>1.4189198333353099</v>
      </c>
      <c r="AJ97" s="207">
        <f>INDEX($A$87:$H$100,MATCH($L97,$B$87:$B$100,0),MATCH($AA$86,$A$87:$H$87,0))*고양시_Modal_split!L$3 * 0.01</f>
        <v>28.567585977817576</v>
      </c>
      <c r="AK97" s="207">
        <f>INDEX($A$87:$H$100,MATCH($L97,$B$87:$B$100,0),MATCH($AA$86,$A$87:$H$87,0))*고양시_Modal_split!M$3 * 0.01</f>
        <v>2.1756770777808088</v>
      </c>
      <c r="AL97" s="207">
        <f>INDEX($A$87:$H$100,MATCH($L97,$B$87:$B$100,0),MATCH($AA$86,$A$87:$H$87,0))*고양시_Modal_split!N$3 * 0.01</f>
        <v>0.94594655555687346</v>
      </c>
      <c r="AM97" s="207">
        <f>INDEX($A$87:$H$100,MATCH($L97,$B$87:$B$100,0),MATCH($AA$86,$A$87:$H$87,0))*고양시_Modal_split!O$3 * 0.01</f>
        <v>1.702703800002372</v>
      </c>
      <c r="AN97" s="207">
        <f>INDEX($A$87:$H$100,MATCH($L97,$B$87:$B$100,0),MATCH($AA$86,$A$87:$H$87,0))*고양시_Modal_split!P$3 * 0.01</f>
        <v>945.94655555687336</v>
      </c>
      <c r="AO97" s="303">
        <f>INDEX($A$87:$H$100,MATCH($L97,$B$87:$B$100,0),MATCH($AO$86,$A$87:$H$87,0))*고양시_Modal_split!C$3 * 0.01</f>
        <v>0.15194651493827302</v>
      </c>
      <c r="AP97" s="303">
        <f>INDEX($A$87:$H$100,MATCH($L97,$B$87:$B$100,0),MATCH($AO$86,$A$87:$H$87,0))*고양시_Modal_split!D$3 * 0.01</f>
        <v>25.521587848382072</v>
      </c>
      <c r="AQ97" s="303">
        <f>INDEX($A$87:$H$100,MATCH($L97,$B$87:$B$100,0),MATCH($AO$86,$A$87:$H$87,0))*고양시_Modal_split!E$3 * 0.01</f>
        <v>3.0877702499956197</v>
      </c>
      <c r="AR97" s="303">
        <f>INDEX($A$87:$H$100,MATCH($L97,$B$87:$B$100,0),MATCH($AO$86,$A$87:$H$87,0))*고양시_Modal_split!F$3 * 0.01</f>
        <v>4.9762483642284421</v>
      </c>
      <c r="AS97" s="303">
        <f>INDEX($A$87:$H$100,MATCH($L97,$B$87:$B$100,0),MATCH($AO$86,$A$87:$H$87,0))*고양시_Modal_split!G$3 * 0.01</f>
        <v>0.49925283479718274</v>
      </c>
      <c r="AT97" s="303">
        <f>INDEX($A$87:$H$100,MATCH($L97,$B$87:$B$100,0),MATCH($AO$86,$A$87:$H$87,0))*고양시_Modal_split!H$3 * 0.01</f>
        <v>5.4266612477954657E-3</v>
      </c>
      <c r="AU97" s="303">
        <f>INDEX($A$87:$H$100,MATCH($L97,$B$87:$B$100,0),MATCH($AO$86,$A$87:$H$87,0))*고양시_Modal_split!I$3 * 0.01</f>
        <v>1.5086118268871391</v>
      </c>
      <c r="AV97" s="303">
        <f>INDEX($A$87:$H$100,MATCH($L97,$B$87:$B$100,0),MATCH($AO$86,$A$87:$H$87,0))*고양시_Modal_split!J$3 * 0.01</f>
        <v>16.518756838289395</v>
      </c>
      <c r="AW97" s="303">
        <f>INDEX($A$87:$H$100,MATCH($L97,$B$87:$B$100,0),MATCH($AO$86,$A$87:$H$87,0))*고양시_Modal_split!K$3 * 0.01</f>
        <v>8.1399918716931974E-2</v>
      </c>
      <c r="AX97" s="303">
        <f>INDEX($A$87:$H$100,MATCH($L97,$B$87:$B$100,0),MATCH($AO$86,$A$87:$H$87,0))*고양시_Modal_split!L$3 * 0.01</f>
        <v>1.6388516968342304</v>
      </c>
      <c r="AY97" s="303">
        <f>INDEX($A$87:$H$100,MATCH($L97,$B$87:$B$100,0),MATCH($AO$86,$A$87:$H$87,0))*고양시_Modal_split!M$3 * 0.01</f>
        <v>0.12481320869929569</v>
      </c>
      <c r="AZ97" s="303">
        <f>INDEX($A$87:$H$100,MATCH($L97,$B$87:$B$100,0),MATCH($AO$86,$A$87:$H$87,0))*고양시_Modal_split!N$3 * 0.01</f>
        <v>5.4266612477954654E-2</v>
      </c>
      <c r="BA97" s="207">
        <f>INDEX($A$87:$H$100,MATCH($L97,$B$87:$B$100,0),MATCH($AO$86,$A$87:$H$87,0))*고양시_Modal_split!O$3 * 0.01</f>
        <v>9.767990246031838E-2</v>
      </c>
      <c r="BB97" s="207">
        <f>INDEX($A$87:$H$100,MATCH($L97,$B$87:$B$100,0),MATCH($AO$86,$A$87:$H$87,0))*고양시_Modal_split!P$3 * 0.01</f>
        <v>54.266612477954652</v>
      </c>
      <c r="BC97" s="207">
        <f>INDEX($A$87:$H$100,MATCH($L97,$B$87:$B$100,0),MATCH($BC$86,$A$87:$H$87,0))*고양시_Modal_split!C$3 * 0.01</f>
        <v>2.3878446559183719E-4</v>
      </c>
      <c r="BD97" s="207">
        <f>INDEX($A$87:$H$100,MATCH($L97,$B$87:$B$100,0),MATCH($BC$86,$A$87:$H$87,0))*고양시_Modal_split!D$3 * 0.01</f>
        <v>4.0107262202800371E-2</v>
      </c>
      <c r="BE97" s="207">
        <f>INDEX($A$87:$H$100,MATCH($L97,$B$87:$B$100,0),MATCH($BC$86,$A$87:$H$87,0))*고양시_Modal_split!E$3 * 0.01</f>
        <v>4.8524414614912626E-3</v>
      </c>
      <c r="BF97" s="207">
        <f>INDEX($A$87:$H$100,MATCH($L97,$B$87:$B$100,0),MATCH($BC$86,$A$87:$H$87,0))*고양시_Modal_split!F$3 * 0.01</f>
        <v>7.8201912481326678E-3</v>
      </c>
      <c r="BG97" s="207">
        <f>INDEX($A$87:$H$100,MATCH($L97,$B$87:$B$100,0),MATCH($BC$86,$A$87:$H$87,0))*고양시_Modal_split!G$3 * 0.01</f>
        <v>7.8457752980175071E-4</v>
      </c>
      <c r="BH97" s="207">
        <f>INDEX($A$87:$H$100,MATCH($L97,$B$87:$B$100,0),MATCH($BC$86,$A$87:$H$87,0))*고양시_Modal_split!H$3 * 0.01</f>
        <v>8.5280166282798996E-6</v>
      </c>
      <c r="BI97" s="207">
        <f>INDEX($A$87:$H$100,MATCH($L97,$B$87:$B$100,0),MATCH($BC$86,$A$87:$H$87,0))*고양시_Modal_split!I$3 * 0.01</f>
        <v>2.3707886226618118E-3</v>
      </c>
      <c r="BJ97" s="207">
        <f>INDEX($A$87:$H$100,MATCH($L97,$B$87:$B$100,0),MATCH($BC$86,$A$87:$H$87,0))*고양시_Modal_split!J$3 * 0.01</f>
        <v>2.5959282616484013E-2</v>
      </c>
      <c r="BK97" s="207">
        <f>INDEX($A$87:$H$100,MATCH($L97,$B$87:$B$100,0),MATCH($BC$86,$A$87:$H$87,0))*고양시_Modal_split!K$3 * 0.01</f>
        <v>1.2792024942419851E-4</v>
      </c>
      <c r="BL97" s="207">
        <f>INDEX($A$87:$H$100,MATCH($L97,$B$87:$B$100,0),MATCH($BC$86,$A$87:$H$87,0))*고양시_Modal_split!L$3 * 0.01</f>
        <v>2.5754610217405302E-3</v>
      </c>
      <c r="BM97" s="207">
        <f>INDEX($A$87:$H$100,MATCH($L97,$B$87:$B$100,0),MATCH($BC$86,$A$87:$H$87,0))*고양시_Modal_split!M$3 * 0.01</f>
        <v>1.9614438245043768E-4</v>
      </c>
      <c r="BN97" s="207">
        <f>INDEX($A$87:$H$100,MATCH($L97,$B$87:$B$100,0),MATCH($BC$86,$A$87:$H$87,0))*고양시_Modal_split!N$3 * 0.01</f>
        <v>8.5280166282798996E-5</v>
      </c>
      <c r="BO97" s="207">
        <f>INDEX($A$87:$H$100,MATCH($L97,$B$87:$B$100,0),MATCH($BC$86,$A$87:$H$87,0))*고양시_Modal_split!O$3 * 0.01</f>
        <v>1.5350429930903819E-4</v>
      </c>
      <c r="BP97" s="207">
        <f>INDEX($A$87:$H$100,MATCH($L97,$B$87:$B$100,0),MATCH($BC$86,$A$87:$H$87,0))*고양시_Modal_split!P$3 * 0.01</f>
        <v>8.5280166282798997E-2</v>
      </c>
      <c r="BQ97" s="207">
        <f>INDEX($A$87:$H$100,MATCH($L97,$B$87:$B$100,0),MATCH($BQ$86,$A$87:$H$87,0))*고양시_Modal_split!C$3 * 0.01</f>
        <v>9.0207464779138769E-4</v>
      </c>
      <c r="BR97" s="207">
        <f>INDEX($A$87:$H$100,MATCH($L97,$B$87:$B$100,0),MATCH($BQ$86,$A$87:$H$87,0))*고양시_Modal_split!D$3 * 0.01</f>
        <v>0.15151632387724631</v>
      </c>
      <c r="BS97" s="207">
        <f>INDEX($A$87:$H$100,MATCH($L97,$B$87:$B$100,0),MATCH($BQ$86,$A$87:$H$87,0))*고양시_Modal_split!E$3 * 0.01</f>
        <v>1.8331445521189271E-2</v>
      </c>
      <c r="BT97" s="207">
        <f>INDEX($A$87:$H$100,MATCH($L97,$B$87:$B$100,0),MATCH($BQ$86,$A$87:$H$87,0))*고양시_Modal_split!F$3 * 0.01</f>
        <v>2.9542944715167951E-2</v>
      </c>
      <c r="BU97" s="207">
        <f>INDEX($A$87:$H$100,MATCH($L97,$B$87:$B$100,0),MATCH($BQ$86,$A$87:$H$87,0))*고양시_Modal_split!G$3 * 0.01</f>
        <v>2.9639595570288453E-3</v>
      </c>
      <c r="BV97" s="207">
        <f>INDEX($A$87:$H$100,MATCH($L97,$B$87:$B$100,0),MATCH($BQ$86,$A$87:$H$87,0))*고양시_Modal_split!H$3 * 0.01</f>
        <v>3.2216951706835279E-5</v>
      </c>
      <c r="BW97" s="207">
        <f>INDEX($A$87:$H$100,MATCH($L97,$B$87:$B$100,0),MATCH($BQ$86,$A$87:$H$87,0))*고양시_Modal_split!I$3 * 0.01</f>
        <v>8.9563125745002071E-3</v>
      </c>
      <c r="BX97" s="207">
        <f>INDEX($A$87:$H$100,MATCH($L97,$B$87:$B$100,0),MATCH($BQ$86,$A$87:$H$87,0))*고양시_Modal_split!J$3 * 0.01</f>
        <v>9.8068400995606597E-2</v>
      </c>
      <c r="BY97" s="207">
        <f>INDEX($A$87:$H$100,MATCH($L97,$B$87:$B$100,0),MATCH($BQ$86,$A$87:$H$87,0))*고양시_Modal_split!K$3 * 0.01</f>
        <v>4.8325427560252921E-4</v>
      </c>
      <c r="BZ97" s="207">
        <f>INDEX($A$87:$H$100,MATCH($L97,$B$87:$B$100,0),MATCH($BQ$86,$A$87:$H$87,0))*고양시_Modal_split!L$3 * 0.01</f>
        <v>9.729519415464254E-3</v>
      </c>
      <c r="CA97" s="207">
        <f>INDEX($A$87:$H$100,MATCH($L97,$B$87:$B$100,0),MATCH($BQ$86,$A$87:$H$87,0))*고양시_Modal_split!M$3 * 0.01</f>
        <v>7.4098988925721133E-4</v>
      </c>
      <c r="CB97" s="207">
        <f>INDEX($A$87:$H$100,MATCH($L97,$B$87:$B$100,0),MATCH($BQ$86,$A$87:$H$87,0))*고양시_Modal_split!N$3 * 0.01</f>
        <v>3.2216951706835279E-4</v>
      </c>
      <c r="CC97" s="207">
        <f>INDEX($A$87:$H$100,MATCH($L97,$B$87:$B$100,0),MATCH($BQ$86,$A$87:$H$87,0))*고양시_Modal_split!O$3 * 0.01</f>
        <v>5.7990513072303496E-4</v>
      </c>
      <c r="CD97" s="207">
        <f>INDEX($A$87:$H$100,MATCH($L97,$B$87:$B$100,0),MATCH($BQ$86,$A$87:$H$87,0))*고양시_Modal_split!P$3 * 0.01</f>
        <v>0.32216951706835284</v>
      </c>
      <c r="CE97" s="304">
        <f t="shared" si="69"/>
        <v>3.167714720541325</v>
      </c>
      <c r="CF97" s="304">
        <f t="shared" si="51"/>
        <v>532.06294038235183</v>
      </c>
      <c r="CG97" s="304">
        <f t="shared" si="52"/>
        <v>64.372488428143342</v>
      </c>
      <c r="CH97" s="304">
        <f t="shared" si="53"/>
        <v>103.74265709772838</v>
      </c>
      <c r="CI97" s="304">
        <f t="shared" si="54"/>
        <v>10.408205510350067</v>
      </c>
      <c r="CJ97" s="304">
        <f t="shared" si="55"/>
        <v>0.11313266859076161</v>
      </c>
      <c r="CK97" s="304">
        <f t="shared" si="56"/>
        <v>31.450881868231725</v>
      </c>
      <c r="CL97" s="304">
        <f t="shared" si="57"/>
        <v>344.37584319027832</v>
      </c>
      <c r="CM97" s="304">
        <f t="shared" si="58"/>
        <v>1.6969900288614241</v>
      </c>
      <c r="CN97" s="304">
        <f t="shared" si="59"/>
        <v>34.166065914410005</v>
      </c>
      <c r="CO97" s="304">
        <f t="shared" si="60"/>
        <v>2.6020513775875167</v>
      </c>
      <c r="CP97" s="304">
        <f t="shared" si="61"/>
        <v>1.1313266859076161</v>
      </c>
      <c r="CQ97" s="304">
        <f t="shared" si="62"/>
        <v>2.0363880346337089</v>
      </c>
      <c r="CR97" s="304">
        <f t="shared" si="63"/>
        <v>1131.3266859076159</v>
      </c>
      <c r="CS97" s="305">
        <f t="shared" si="70"/>
        <v>0</v>
      </c>
      <c r="CV97" s="267" t="s">
        <v>169</v>
      </c>
      <c r="CW97" s="267" t="s">
        <v>169</v>
      </c>
      <c r="CX97" s="267">
        <f>INDEX($M$86:$Z$100,MATCH($CW97,$L$86:$L$100,0),MATCH(CX$87,$M$87:$Z$87,0))/INDEX(고양시_재차인원!$D$4:$H$35,MATCH("고양시",고양시_재차인원!$B$4:$B$35,0),MATCH($CX$86,고양시_재차인원!$D$4:$H$4,0))</f>
        <v>54.884878454903713</v>
      </c>
      <c r="CY97" s="267">
        <f>INDEX($M$86:$Z$100,MATCH($CW97,$L$86:$L$100,0),MATCH(CY$87,$M$87:$Z$87,0))/INDEX(고양시_재차인원!$K$4:$O$20,MATCH("경기도",고양시_재차인원!$K$4:$K$20,0),MATCH($CY$87,고양시_재차인원!$K$4:$O$4,0))</f>
        <v>4.5399815279415385E-4</v>
      </c>
      <c r="CZ97" s="267">
        <f>INDEX($M$86:$Z$100,MATCH($CW97,$L$86:$L$100,0),MATCH(CZ$87,$M$87:$Z$87,0))/INDEX(고양시_재차인원!$K$4:$O$20,MATCH("경기도",고양시_재차인원!$K$4:$K$20,0),MATCH($CZ$87,고양시_재차인원!$K$4:$O$4,0))</f>
        <v>0.12621148647677477</v>
      </c>
      <c r="DA97" s="267">
        <f>INDEX($M$86:$Z$100,MATCH($CW97,$L$86:$L$100,0),MATCH(DA$87,$M$87:$Z$87,0))/INDEX(고양시_재차인원!$D$4:$H$35,MATCH("고양시",고양시_재차인원!$B$4:$B$35,0),MATCH($CX$86,고양시_재차인원!$D$4:$H$4,0))</f>
        <v>3.5243957672508865</v>
      </c>
      <c r="DB97" s="267">
        <f>INDEX($AA$86:$AN$100,MATCH($CW97,$L$86:$L$100,0),MATCH(DB$87,$AA$87:$AN$87,0))/INDEX(고양시_재차인원!$D$4:$H$35,MATCH("고양시",고양시_재차인원!$B$4:$B$35,0),MATCH($DB$86,고양시_재차인원!$D$4:$H$4,0))</f>
        <v>315.51678374354435</v>
      </c>
      <c r="DC97" s="267">
        <f>INDEX($AA$86:$AN$100,MATCH($CW97,$L$86:$L$100,0),MATCH(DC$87,$AA$87:$AN$87,0))/INDEX(고양시_재차인원!$K$4:$O$20,MATCH("경기도",고양시_재차인원!$K$4:$K$20,0),MATCH(DC$87,고양시_재차인원!$K$4:$O$4,0))</f>
        <v>3.2856775114861879E-3</v>
      </c>
      <c r="DD97" s="267">
        <f>INDEX($AA$86:$AN$100,MATCH($CW97,$L$86:$L$100,0),MATCH(DD$87,$AA$87:$AN$87,0))/INDEX(고양시_재차인원!$K$4:$O$20,MATCH("경기도",고양시_재차인원!$K$4:$K$20,0),MATCH(DD$87,고양시_재차인원!$K$4:$O$4,0))</f>
        <v>0.91341834819316003</v>
      </c>
      <c r="DE97" s="267">
        <f>INDEX($AA$86:$AN$100,MATCH($CW97,$L$86:$L$100,0),MATCH(DE$87,$AA$87:$AN$87,0))/INDEX(고양시_재차인원!$D$4:$H$35,MATCH("고양시",고양시_재차인원!$B$4:$B$35,0),MATCH($DB$86,고양시_재차인원!$D$4:$H$4,0))</f>
        <v>20.260699275047926</v>
      </c>
      <c r="DF97" s="267">
        <f>INDEX($AO$86:$BB$100,MATCH($CW97,$L$86:$L$100,0),MATCH(DF$87,$AO$87:$BB$87,0))/INDEX(고양시_재차인원!$D$4:$H$35,MATCH("고양시",고양시_재차인원!$B$4:$B$35,0),MATCH($DF$86,고양시_재차인원!$D$4:$H$4,0))</f>
        <v>19.631990652601594</v>
      </c>
      <c r="DG97" s="267">
        <f>INDEX($AO$86:$BB$100,MATCH($CW97,$L$86:$L$100,0),MATCH(DG$87,$AO$87:$BB$87,0))/INDEX(고양시_재차인원!$K$4:$O$20,MATCH("경기도",고양시_재차인원!$K$4:$K$20,0),MATCH(DG$87,고양시_재차인원!$K$4:$O$4,0))</f>
        <v>1.8849118609918255E-4</v>
      </c>
      <c r="DH97" s="267">
        <f>INDEX($AO$86:$BB$100,MATCH($CW97,$L$86:$L$100,0),MATCH(DH$87,$AO$87:$BB$87,0))/INDEX(고양시_재차인원!$K$4:$O$20,MATCH("경기도",고양시_재차인원!$K$4:$K$20,0),MATCH(DH$87,고양시_재차인원!$K$4:$O$4,0))</f>
        <v>5.2400549735572739E-2</v>
      </c>
      <c r="DI97" s="267">
        <f>INDEX($AO$86:$BB$100,MATCH($CW97,$L$86:$L$100,0),MATCH(DI$87,$AO$87:$BB$87,0))/INDEX(고양시_재차인원!$D$4:$H$35,MATCH("고양시",고양시_재차인원!$B$4:$B$35,0),MATCH($DF$86,고양시_재차인원!$D$4:$H$4,0))</f>
        <v>1.2606551514109463</v>
      </c>
      <c r="DJ97" s="267">
        <f>INDEX($BC$86:$BP$100,MATCH($CW97,$L$86:$L$100,0),MATCH(DJ$87,$BC$87:$BP$87,0))/INDEX(고양시_재차인원!$D$4:$H$35,MATCH("고양시",고양시_재차인원!$B$4:$B$35,0),MATCH($DJ$86,고양시_재차인원!$D$4:$H$4,0))</f>
        <v>2.9490633972647329E-2</v>
      </c>
      <c r="DK97" s="267">
        <f>INDEX($BC$86:$BP$100,MATCH($CW97,$L$86:$L$100,0),MATCH(DK$87,$BC$87:$BP$87,0))/INDEX(고양시_재차인원!$K$4:$O$20,MATCH("경기도",고양시_재차인원!$K$4:$K$20,0),MATCH(DK$87,고양시_재차인원!$K$4:$O$4,0))</f>
        <v>2.9621454075303578E-7</v>
      </c>
      <c r="DL97" s="267">
        <f>INDEX($BC$86:$BP$100,MATCH($CW97,$L$86:$L$100,0),MATCH(DL$87,$BC$87:$BP$87,0))/INDEX(고양시_재차인원!$K$4:$O$20,MATCH("경기도",고양시_재차인원!$K$4:$K$20,0),MATCH(DL$87,고양시_재차인원!$K$4:$O$4,0))</f>
        <v>8.2347642329343932E-5</v>
      </c>
      <c r="DM97" s="267">
        <f>INDEX($BC$86:$BP$100,MATCH($CW97,$L$86:$L$100,0),MATCH(DM$87,$BC$87:$BP$87,0))/INDEX(고양시_재차인원!$D$4:$H$35,MATCH("고양시",고양시_재차인원!$B$4:$B$35,0),MATCH($DJ$86,고양시_재차인원!$D$4:$H$4,0))</f>
        <v>1.8937213395150956E-3</v>
      </c>
      <c r="DN97" s="267">
        <f>INDEX($BQ$86:$CD$100,MATCH($CW97,$L$86:$L$100,0),MATCH(DN$87,$BQ$87:$CD$87,0))/INDEX(고양시_재차인원!$D$4:$H$35,MATCH("고양시",고양시_재차인원!$B$4:$B$35,0),MATCH($DN$86,고양시_재차인원!$D$4:$H$4,0))</f>
        <v>0.12025105069622723</v>
      </c>
      <c r="DO97" s="267">
        <f>INDEX($BQ$86:$CD$100,MATCH($CW97,$L$86:$L$100,0),MATCH(DO$87,$BQ$87:$CD$87,0))/INDEX(고양시_재차인원!$K$4:$O$20,MATCH("경기도",고양시_재차인원!$K$4:$K$20,0),MATCH(DO$87,고양시_재차인원!$K$4:$O$4,0))</f>
        <v>1.1190327095114721E-6</v>
      </c>
      <c r="DP97" s="267">
        <f>INDEX($BQ$86:$CD$100,MATCH($CW97,$L$86:$L$100,0),MATCH(DP$87,$BQ$87:$CD$87,0))/INDEX(고양시_재차인원!$K$4:$O$20,MATCH("경기도",고양시_재차인원!$K$4:$K$20,0),MATCH(DP$87,고양시_재차인원!$K$4:$O$4,0))</f>
        <v>3.1109109324418922E-4</v>
      </c>
      <c r="DQ97" s="267">
        <f>INDEX($BQ$86:$CD$100,MATCH($CW97,$L$86:$L$100,0),MATCH(DQ$87,$BQ$87:$CD$87,0))/INDEX(고양시_재차인원!$D$4:$H$35,MATCH("고양시",고양시_재차인원!$B$4:$B$35,0),MATCH($DN$86,고양시_재차인원!$D$4:$H$4,0))</f>
        <v>7.7218408059240113E-3</v>
      </c>
      <c r="DR97" s="270">
        <f t="shared" si="71"/>
        <v>390.18339453571861</v>
      </c>
      <c r="DS97" s="270">
        <f t="shared" si="64"/>
        <v>3.929582097629788E-3</v>
      </c>
      <c r="DT97" s="270">
        <f t="shared" si="65"/>
        <v>1.0924238231410812</v>
      </c>
      <c r="DU97" s="270">
        <f t="shared" si="66"/>
        <v>25.055365755855199</v>
      </c>
      <c r="DW97" s="278" t="s">
        <v>169</v>
      </c>
      <c r="DX97" s="278" t="s">
        <v>169</v>
      </c>
      <c r="DY97" s="281">
        <f t="shared" si="72"/>
        <v>415.23876029157378</v>
      </c>
      <c r="DZ97" s="281">
        <f t="shared" si="73"/>
        <v>1.0963534052387109</v>
      </c>
      <c r="EB97" s="278" t="s">
        <v>170</v>
      </c>
      <c r="EC97" s="278" t="s">
        <v>170</v>
      </c>
      <c r="ED97" s="281">
        <f t="shared" si="81"/>
        <v>343.42656881804692</v>
      </c>
      <c r="EE97" s="281">
        <f t="shared" si="80"/>
        <v>0.90674793439015255</v>
      </c>
      <c r="EK97" s="420" t="s">
        <v>47</v>
      </c>
      <c r="EL97" s="420" t="s">
        <v>47</v>
      </c>
      <c r="EM97" s="420" t="s">
        <v>570</v>
      </c>
      <c r="EN97" s="420">
        <v>4861.8494000000001</v>
      </c>
      <c r="EO97" s="420">
        <v>0.50932407249705824</v>
      </c>
      <c r="EP97" s="421">
        <v>849010</v>
      </c>
      <c r="EQ97" s="422">
        <f t="shared" si="75"/>
        <v>128.06447154507444</v>
      </c>
      <c r="ER97" s="422">
        <f t="shared" si="76"/>
        <v>0.33812816358942271</v>
      </c>
      <c r="ES97">
        <v>0</v>
      </c>
      <c r="EU97" s="306" t="s">
        <v>47</v>
      </c>
      <c r="EV97" s="306" t="s">
        <v>47</v>
      </c>
      <c r="EW97" s="306" t="s">
        <v>570</v>
      </c>
      <c r="EX97" s="306">
        <v>4861.8494000000001</v>
      </c>
      <c r="EY97" s="306">
        <v>0.50932407249705824</v>
      </c>
      <c r="EZ97" s="307">
        <v>849010</v>
      </c>
      <c r="FA97" s="308">
        <f t="shared" si="77"/>
        <v>128.06447154507444</v>
      </c>
      <c r="FB97" s="308">
        <f t="shared" si="68"/>
        <v>0.33812816358942271</v>
      </c>
      <c r="FD97" s="101"/>
      <c r="FE97" s="101"/>
      <c r="FF97" s="101"/>
      <c r="FG97" s="101"/>
      <c r="FH97" s="101"/>
      <c r="FI97" s="374"/>
      <c r="FJ97" s="404"/>
      <c r="FK97" s="404"/>
    </row>
    <row r="98" spans="1:167" ht="25">
      <c r="A98" s="205" t="s">
        <v>170</v>
      </c>
      <c r="B98" s="205" t="s">
        <v>170</v>
      </c>
      <c r="C98" s="201">
        <f>$K39*KTDB_TripDistribution_2035!T$12</f>
        <v>108.10150885354831</v>
      </c>
      <c r="D98" s="201">
        <f>$K39*KTDB_TripDistribution_2035!U$12</f>
        <v>782.35273516382119</v>
      </c>
      <c r="E98" s="201">
        <f>$K39*KTDB_TripDistribution_2035!V$12</f>
        <v>44.881639930714243</v>
      </c>
      <c r="F98" s="201">
        <f>$K39*KTDB_TripDistribution_2035!W$12</f>
        <v>7.0531649969692092E-2</v>
      </c>
      <c r="G98" s="201">
        <f>$K39*KTDB_TripDistribution_2035!X$12</f>
        <v>0.26645289988550425</v>
      </c>
      <c r="H98" s="201">
        <f>$K39*KTDB_TripDistribution_2035!Y$12</f>
        <v>935.67286849793902</v>
      </c>
      <c r="I98" s="56"/>
      <c r="J98" s="56"/>
      <c r="K98" s="206" t="s">
        <v>170</v>
      </c>
      <c r="L98" s="206" t="s">
        <v>170</v>
      </c>
      <c r="M98" s="206">
        <f>INDEX($A$87:$H$100,MATCH($L98,$B$87:$B$100,0),MATCH($M$86,$A$87:$H$87,0))*고양시_Modal_split!C$3 * 0.01</f>
        <v>0.30268422478993523</v>
      </c>
      <c r="N98" s="206">
        <f>INDEX($A$87:$H$100,MATCH($L98,$B$87:$B$100,0),MATCH($M$86,$A$87:$H$87,0))*고양시_Modal_split!D$3 * 0.01</f>
        <v>50.84013961382378</v>
      </c>
      <c r="O98" s="206">
        <f>INDEX($A$87:$H$100,MATCH($L98,$B$87:$B$100,0),MATCH($M$86,$A$87:$H$87,0))*고양시_Modal_split!E$3 * 0.01</f>
        <v>6.1509758537668988</v>
      </c>
      <c r="P98" s="206">
        <f>INDEX($A$87:$H$100,MATCH($L98,$B$87:$B$100,0),MATCH($M$86,$A$87:$H$87,0))*고양시_Modal_split!F$3 * 0.01</f>
        <v>9.9129083618703806</v>
      </c>
      <c r="Q98" s="206">
        <f>INDEX($A$87:$H$100,MATCH($L98,$B$87:$B$100,0),MATCH($M$86,$A$87:$H$87,0))*고양시_Modal_split!G$3 * 0.01</f>
        <v>0.99453388145264443</v>
      </c>
      <c r="R98" s="206">
        <f>INDEX($A$87:$H$100,MATCH($L98,$B$87:$B$100,0),MATCH($M$86,$A$87:$H$87,0))*고양시_Modal_split!H$3 * 0.01</f>
        <v>1.0810150885354832E-2</v>
      </c>
      <c r="S98" s="206">
        <f>INDEX($A$87:$H$100,MATCH($L98,$B$87:$B$100,0),MATCH($M$86,$A$87:$H$87,0))*고양시_Modal_split!I$3 * 0.01</f>
        <v>3.0052219461286427</v>
      </c>
      <c r="T98" s="206">
        <f>INDEX($A$87:$H$100,MATCH($L98,$B$87:$B$100,0),MATCH($M$86,$A$87:$H$87,0))*고양시_Modal_split!J$3 * 0.01</f>
        <v>32.906099295020105</v>
      </c>
      <c r="U98" s="206">
        <f>INDEX($A$87:$H$100,MATCH($L98,$B$87:$B$100,0),MATCH($M$86,$A$87:$H$87,0))*고양시_Modal_split!K$3 * 0.01</f>
        <v>0.16215226328032245</v>
      </c>
      <c r="V98" s="206">
        <f>INDEX($A$87:$H$100,MATCH($L98,$B$87:$B$100,0),MATCH($M$86,$A$87:$H$87,0))*고양시_Modal_split!L$3 * 0.01</f>
        <v>3.264665567377159</v>
      </c>
      <c r="W98" s="206">
        <f>INDEX($A$87:$H$100,MATCH($L98,$B$87:$B$100,0),MATCH($M$86,$A$87:$H$87,0))*고양시_Modal_split!M$3 * 0.01</f>
        <v>0.24863347036316111</v>
      </c>
      <c r="X98" s="206">
        <f>INDEX($A$87:$H$100,MATCH($L98,$B$87:$B$100,0),MATCH($M$86,$A$87:$H$87,0))*고양시_Modal_split!N$3 * 0.01</f>
        <v>0.10810150885354831</v>
      </c>
      <c r="Y98" s="206">
        <f>INDEX($A$87:$H$100,MATCH($L98,$B$87:$B$100,0),MATCH($M$86,$A$87:$H$87,0))*고양시_Modal_split!O$3 * 0.01</f>
        <v>0.19458271593638696</v>
      </c>
      <c r="Z98" s="209">
        <f>INDEX($A$87:$H$100,MATCH($L98,$B$87:$B$100,0),MATCH($M$86,$A$87:$H$87,0))*고양시_Modal_split!P$3 * 0.01</f>
        <v>108.10150885354831</v>
      </c>
      <c r="AA98" s="207">
        <f>INDEX($A$87:$H$100,MATCH($L98,$B$87:$B$100,0),MATCH($AA$86,$A$87:$H$87,0))*고양시_Modal_split!C$3 * 0.01</f>
        <v>2.1905876584586994</v>
      </c>
      <c r="AB98" s="207">
        <f>INDEX($A$87:$H$100,MATCH($L98,$B$87:$B$100,0),MATCH($AA$86,$A$87:$H$87,0))*고양시_Modal_split!D$3 * 0.01</f>
        <v>367.94049134754511</v>
      </c>
      <c r="AC98" s="207">
        <f>INDEX($A$87:$H$100,MATCH($L98,$B$87:$B$100,0),MATCH($AA$86,$A$87:$H$87,0))*고양시_Modal_split!E$3 * 0.01</f>
        <v>44.515870630821418</v>
      </c>
      <c r="AD98" s="207">
        <f>INDEX($A$87:$H$100,MATCH($L98,$B$87:$B$100,0),MATCH($AA$86,$A$87:$H$87,0))*고양시_Modal_split!F$3 * 0.01</f>
        <v>71.741745814522403</v>
      </c>
      <c r="AE98" s="207">
        <f>INDEX($A$87:$H$100,MATCH($L98,$B$87:$B$100,0),MATCH($AA$86,$A$87:$H$87,0))*고양시_Modal_split!G$3 * 0.01</f>
        <v>7.1976451635071541</v>
      </c>
      <c r="AF98" s="207">
        <f>INDEX($A$87:$H$100,MATCH($L98,$B$87:$B$100,0),MATCH($AA$86,$A$87:$H$87,0))*고양시_Modal_split!H$3 * 0.01</f>
        <v>7.8235273516382126E-2</v>
      </c>
      <c r="AG98" s="207">
        <f>INDEX($A$87:$H$100,MATCH($L98,$B$87:$B$100,0),MATCH($AA$86,$A$87:$H$87,0))*고양시_Modal_split!I$3 * 0.01</f>
        <v>21.749406037554227</v>
      </c>
      <c r="AH98" s="207">
        <f>INDEX($A$87:$H$100,MATCH($L98,$B$87:$B$100,0),MATCH($AA$86,$A$87:$H$87,0))*고양시_Modal_split!J$3 * 0.01</f>
        <v>238.14817258386719</v>
      </c>
      <c r="AI98" s="207">
        <f>INDEX($A$87:$H$100,MATCH($L98,$B$87:$B$100,0),MATCH($AA$86,$A$87:$H$87,0))*고양시_Modal_split!K$3 * 0.01</f>
        <v>1.1735291027457317</v>
      </c>
      <c r="AJ98" s="207">
        <f>INDEX($A$87:$H$100,MATCH($L98,$B$87:$B$100,0),MATCH($AA$86,$A$87:$H$87,0))*고양시_Modal_split!L$3 * 0.01</f>
        <v>23.627052601947398</v>
      </c>
      <c r="AK98" s="207">
        <f>INDEX($A$87:$H$100,MATCH($L98,$B$87:$B$100,0),MATCH($AA$86,$A$87:$H$87,0))*고양시_Modal_split!M$3 * 0.01</f>
        <v>1.7994112908767885</v>
      </c>
      <c r="AL98" s="207">
        <f>INDEX($A$87:$H$100,MATCH($L98,$B$87:$B$100,0),MATCH($AA$86,$A$87:$H$87,0))*고양시_Modal_split!N$3 * 0.01</f>
        <v>0.7823527351638212</v>
      </c>
      <c r="AM98" s="207">
        <f>INDEX($A$87:$H$100,MATCH($L98,$B$87:$B$100,0),MATCH($AA$86,$A$87:$H$87,0))*고양시_Modal_split!O$3 * 0.01</f>
        <v>1.4082349232948781</v>
      </c>
      <c r="AN98" s="207">
        <f>INDEX($A$87:$H$100,MATCH($L98,$B$87:$B$100,0),MATCH($AA$86,$A$87:$H$87,0))*고양시_Modal_split!P$3 * 0.01</f>
        <v>782.35273516382119</v>
      </c>
      <c r="AO98" s="303">
        <f>INDEX($A$87:$H$100,MATCH($L98,$B$87:$B$100,0),MATCH($AO$86,$A$87:$H$87,0))*고양시_Modal_split!C$3 * 0.01</f>
        <v>0.12566859180599987</v>
      </c>
      <c r="AP98" s="303">
        <f>INDEX($A$87:$H$100,MATCH($L98,$B$87:$B$100,0),MATCH($AO$86,$A$87:$H$87,0))*고양시_Modal_split!D$3 * 0.01</f>
        <v>21.107835259414909</v>
      </c>
      <c r="AQ98" s="303">
        <f>INDEX($A$87:$H$100,MATCH($L98,$B$87:$B$100,0),MATCH($AO$86,$A$87:$H$87,0))*고양시_Modal_split!E$3 * 0.01</f>
        <v>2.5537653120576405</v>
      </c>
      <c r="AR98" s="303">
        <f>INDEX($A$87:$H$100,MATCH($L98,$B$87:$B$100,0),MATCH($AO$86,$A$87:$H$87,0))*고양시_Modal_split!F$3 * 0.01</f>
        <v>4.1156463816464957</v>
      </c>
      <c r="AS98" s="303">
        <f>INDEX($A$87:$H$100,MATCH($L98,$B$87:$B$100,0),MATCH($AO$86,$A$87:$H$87,0))*고양시_Modal_split!G$3 * 0.01</f>
        <v>0.41291108736257104</v>
      </c>
      <c r="AT98" s="303">
        <f>INDEX($A$87:$H$100,MATCH($L98,$B$87:$B$100,0),MATCH($AO$86,$A$87:$H$87,0))*고양시_Modal_split!H$3 * 0.01</f>
        <v>4.4881639930714244E-3</v>
      </c>
      <c r="AU98" s="303">
        <f>INDEX($A$87:$H$100,MATCH($L98,$B$87:$B$100,0),MATCH($AO$86,$A$87:$H$87,0))*고양시_Modal_split!I$3 * 0.01</f>
        <v>1.247709590073856</v>
      </c>
      <c r="AV98" s="303">
        <f>INDEX($A$87:$H$100,MATCH($L98,$B$87:$B$100,0),MATCH($AO$86,$A$87:$H$87,0))*고양시_Modal_split!J$3 * 0.01</f>
        <v>13.661971194909416</v>
      </c>
      <c r="AW98" s="303">
        <f>INDEX($A$87:$H$100,MATCH($L98,$B$87:$B$100,0),MATCH($AO$86,$A$87:$H$87,0))*고양시_Modal_split!K$3 * 0.01</f>
        <v>6.7322459896071371E-2</v>
      </c>
      <c r="AX98" s="303">
        <f>INDEX($A$87:$H$100,MATCH($L98,$B$87:$B$100,0),MATCH($AO$86,$A$87:$H$87,0))*고양시_Modal_split!L$3 * 0.01</f>
        <v>1.3554255259075703</v>
      </c>
      <c r="AY98" s="303">
        <f>INDEX($A$87:$H$100,MATCH($L98,$B$87:$B$100,0),MATCH($AO$86,$A$87:$H$87,0))*고양시_Modal_split!M$3 * 0.01</f>
        <v>0.10322777184064276</v>
      </c>
      <c r="AZ98" s="303">
        <f>INDEX($A$87:$H$100,MATCH($L98,$B$87:$B$100,0),MATCH($AO$86,$A$87:$H$87,0))*고양시_Modal_split!N$3 * 0.01</f>
        <v>4.4881639930714243E-2</v>
      </c>
      <c r="BA98" s="207">
        <f>INDEX($A$87:$H$100,MATCH($L98,$B$87:$B$100,0),MATCH($AO$86,$A$87:$H$87,0))*고양시_Modal_split!O$3 * 0.01</f>
        <v>8.0786951875285631E-2</v>
      </c>
      <c r="BB98" s="207">
        <f>INDEX($A$87:$H$100,MATCH($L98,$B$87:$B$100,0),MATCH($AO$86,$A$87:$H$87,0))*고양시_Modal_split!P$3 * 0.01</f>
        <v>44.881639930714243</v>
      </c>
      <c r="BC98" s="207">
        <f>INDEX($A$87:$H$100,MATCH($L98,$B$87:$B$100,0),MATCH($BC$86,$A$87:$H$87,0))*고양시_Modal_split!C$3 * 0.01</f>
        <v>1.9748861991513784E-4</v>
      </c>
      <c r="BD98" s="207">
        <f>INDEX($A$87:$H$100,MATCH($L98,$B$87:$B$100,0),MATCH($BC$86,$A$87:$H$87,0))*고양시_Modal_split!D$3 * 0.01</f>
        <v>3.3171034980746195E-2</v>
      </c>
      <c r="BE98" s="207">
        <f>INDEX($A$87:$H$100,MATCH($L98,$B$87:$B$100,0),MATCH($BC$86,$A$87:$H$87,0))*고양시_Modal_split!E$3 * 0.01</f>
        <v>4.01325088327548E-3</v>
      </c>
      <c r="BF98" s="207">
        <f>INDEX($A$87:$H$100,MATCH($L98,$B$87:$B$100,0),MATCH($BC$86,$A$87:$H$87,0))*고양시_Modal_split!F$3 * 0.01</f>
        <v>6.4677523022207651E-3</v>
      </c>
      <c r="BG98" s="207">
        <f>INDEX($A$87:$H$100,MATCH($L98,$B$87:$B$100,0),MATCH($BC$86,$A$87:$H$87,0))*고양시_Modal_split!G$3 * 0.01</f>
        <v>6.4889117972116717E-4</v>
      </c>
      <c r="BH98" s="207">
        <f>INDEX($A$87:$H$100,MATCH($L98,$B$87:$B$100,0),MATCH($BC$86,$A$87:$H$87,0))*고양시_Modal_split!H$3 * 0.01</f>
        <v>7.05316499696921E-6</v>
      </c>
      <c r="BI98" s="207">
        <f>INDEX($A$87:$H$100,MATCH($L98,$B$87:$B$100,0),MATCH($BC$86,$A$87:$H$87,0))*고양시_Modal_split!I$3 * 0.01</f>
        <v>1.9607798691574398E-3</v>
      </c>
      <c r="BJ98" s="207">
        <f>INDEX($A$87:$H$100,MATCH($L98,$B$87:$B$100,0),MATCH($BC$86,$A$87:$H$87,0))*고양시_Modal_split!J$3 * 0.01</f>
        <v>2.1469834250774276E-2</v>
      </c>
      <c r="BK98" s="207">
        <f>INDEX($A$87:$H$100,MATCH($L98,$B$87:$B$100,0),MATCH($BC$86,$A$87:$H$87,0))*고양시_Modal_split!K$3 * 0.01</f>
        <v>1.0579747495453815E-4</v>
      </c>
      <c r="BL98" s="207">
        <f>INDEX($A$87:$H$100,MATCH($L98,$B$87:$B$100,0),MATCH($BC$86,$A$87:$H$87,0))*고양시_Modal_split!L$3 * 0.01</f>
        <v>2.1300558290847016E-3</v>
      </c>
      <c r="BM98" s="207">
        <f>INDEX($A$87:$H$100,MATCH($L98,$B$87:$B$100,0),MATCH($BC$86,$A$87:$H$87,0))*고양시_Modal_split!M$3 * 0.01</f>
        <v>1.6222279493029179E-4</v>
      </c>
      <c r="BN98" s="207">
        <f>INDEX($A$87:$H$100,MATCH($L98,$B$87:$B$100,0),MATCH($BC$86,$A$87:$H$87,0))*고양시_Modal_split!N$3 * 0.01</f>
        <v>7.0531649969692088E-5</v>
      </c>
      <c r="BO98" s="207">
        <f>INDEX($A$87:$H$100,MATCH($L98,$B$87:$B$100,0),MATCH($BC$86,$A$87:$H$87,0))*고양시_Modal_split!O$3 * 0.01</f>
        <v>1.2695696994544577E-4</v>
      </c>
      <c r="BP98" s="207">
        <f>INDEX($A$87:$H$100,MATCH($L98,$B$87:$B$100,0),MATCH($BC$86,$A$87:$H$87,0))*고양시_Modal_split!P$3 * 0.01</f>
        <v>7.0531649969692092E-2</v>
      </c>
      <c r="BQ98" s="207">
        <f>INDEX($A$87:$H$100,MATCH($L98,$B$87:$B$100,0),MATCH($BQ$86,$A$87:$H$87,0))*고양시_Modal_split!C$3 * 0.01</f>
        <v>7.4606811967941179E-4</v>
      </c>
      <c r="BR98" s="207">
        <f>INDEX($A$87:$H$100,MATCH($L98,$B$87:$B$100,0),MATCH($BQ$86,$A$87:$H$87,0))*고양시_Modal_split!D$3 * 0.01</f>
        <v>0.12531279881615265</v>
      </c>
      <c r="BS98" s="207">
        <f>INDEX($A$87:$H$100,MATCH($L98,$B$87:$B$100,0),MATCH($BQ$86,$A$87:$H$87,0))*고양시_Modal_split!E$3 * 0.01</f>
        <v>1.5161170003485189E-2</v>
      </c>
      <c r="BT98" s="207">
        <f>INDEX($A$87:$H$100,MATCH($L98,$B$87:$B$100,0),MATCH($BQ$86,$A$87:$H$87,0))*고양시_Modal_split!F$3 * 0.01</f>
        <v>2.443373091950074E-2</v>
      </c>
      <c r="BU98" s="207">
        <f>INDEX($A$87:$H$100,MATCH($L98,$B$87:$B$100,0),MATCH($BQ$86,$A$87:$H$87,0))*고양시_Modal_split!G$3 * 0.01</f>
        <v>2.4513666789466389E-3</v>
      </c>
      <c r="BV98" s="207">
        <f>INDEX($A$87:$H$100,MATCH($L98,$B$87:$B$100,0),MATCH($BQ$86,$A$87:$H$87,0))*고양시_Modal_split!H$3 * 0.01</f>
        <v>2.6645289988550428E-5</v>
      </c>
      <c r="BW98" s="207">
        <f>INDEX($A$87:$H$100,MATCH($L98,$B$87:$B$100,0),MATCH($BQ$86,$A$87:$H$87,0))*고양시_Modal_split!I$3 * 0.01</f>
        <v>7.4073906168170183E-3</v>
      </c>
      <c r="BX98" s="207">
        <f>INDEX($A$87:$H$100,MATCH($L98,$B$87:$B$100,0),MATCH($BQ$86,$A$87:$H$87,0))*고양시_Modal_split!J$3 * 0.01</f>
        <v>8.1108262725147498E-2</v>
      </c>
      <c r="BY98" s="207">
        <f>INDEX($A$87:$H$100,MATCH($L98,$B$87:$B$100,0),MATCH($BQ$86,$A$87:$H$87,0))*고양시_Modal_split!K$3 * 0.01</f>
        <v>3.9967934982825638E-4</v>
      </c>
      <c r="BZ98" s="207">
        <f>INDEX($A$87:$H$100,MATCH($L98,$B$87:$B$100,0),MATCH($BQ$86,$A$87:$H$87,0))*고양시_Modal_split!L$3 * 0.01</f>
        <v>8.046877576542228E-3</v>
      </c>
      <c r="CA98" s="207">
        <f>INDEX($A$87:$H$100,MATCH($L98,$B$87:$B$100,0),MATCH($BQ$86,$A$87:$H$87,0))*고양시_Modal_split!M$3 * 0.01</f>
        <v>6.1284166973665972E-4</v>
      </c>
      <c r="CB98" s="207">
        <f>INDEX($A$87:$H$100,MATCH($L98,$B$87:$B$100,0),MATCH($BQ$86,$A$87:$H$87,0))*고양시_Modal_split!N$3 * 0.01</f>
        <v>2.6645289988550425E-4</v>
      </c>
      <c r="CC98" s="207">
        <f>INDEX($A$87:$H$100,MATCH($L98,$B$87:$B$100,0),MATCH($BQ$86,$A$87:$H$87,0))*고양시_Modal_split!O$3 * 0.01</f>
        <v>4.7961521979390765E-4</v>
      </c>
      <c r="CD98" s="207">
        <f>INDEX($A$87:$H$100,MATCH($L98,$B$87:$B$100,0),MATCH($BQ$86,$A$87:$H$87,0))*고양시_Modal_split!P$3 * 0.01</f>
        <v>0.26645289988550425</v>
      </c>
      <c r="CE98" s="304">
        <f t="shared" si="69"/>
        <v>2.6198840317942294</v>
      </c>
      <c r="CF98" s="304">
        <f t="shared" si="51"/>
        <v>440.04695005458069</v>
      </c>
      <c r="CG98" s="304">
        <f t="shared" si="52"/>
        <v>53.239786217532725</v>
      </c>
      <c r="CH98" s="304">
        <f t="shared" si="53"/>
        <v>85.801202041260993</v>
      </c>
      <c r="CI98" s="304">
        <f t="shared" si="54"/>
        <v>8.6081903901810399</v>
      </c>
      <c r="CJ98" s="304">
        <f t="shared" si="55"/>
        <v>9.3567286849793901E-2</v>
      </c>
      <c r="CK98" s="304">
        <f t="shared" si="56"/>
        <v>26.0117057442427</v>
      </c>
      <c r="CL98" s="304">
        <f t="shared" si="57"/>
        <v>284.81882117077259</v>
      </c>
      <c r="CM98" s="304">
        <f t="shared" si="58"/>
        <v>1.4035093027469083</v>
      </c>
      <c r="CN98" s="304">
        <f t="shared" si="59"/>
        <v>28.257320628637753</v>
      </c>
      <c r="CO98" s="304">
        <f t="shared" si="60"/>
        <v>2.15204759754526</v>
      </c>
      <c r="CP98" s="304">
        <f t="shared" si="61"/>
        <v>0.93567286849793896</v>
      </c>
      <c r="CQ98" s="304">
        <f t="shared" si="62"/>
        <v>1.6842111632962899</v>
      </c>
      <c r="CR98" s="304">
        <f t="shared" si="63"/>
        <v>935.67286849793902</v>
      </c>
      <c r="CS98" s="305">
        <f t="shared" si="70"/>
        <v>0</v>
      </c>
      <c r="CV98" s="267" t="s">
        <v>170</v>
      </c>
      <c r="CW98" s="267" t="s">
        <v>170</v>
      </c>
      <c r="CX98" s="267">
        <f>INDEX($M$86:$Z$100,MATCH($CW98,$L$86:$L$100,0),MATCH(CX$87,$M$87:$Z$87,0))/INDEX(고양시_재차인원!$D$4:$H$35,MATCH("고양시",고양시_재차인원!$B$4:$B$35,0),MATCH($CX$86,고양시_재차인원!$D$4:$H$4,0))</f>
        <v>45.392981798056944</v>
      </c>
      <c r="CY98" s="267">
        <f>INDEX($M$86:$Z$100,MATCH($CW98,$L$86:$L$100,0),MATCH(CY$87,$M$87:$Z$87,0))/INDEX(고양시_재차인원!$K$4:$O$20,MATCH("경기도",고양시_재차인원!$K$4:$K$20,0),MATCH($CY$87,고양시_재차인원!$K$4:$O$4,0))</f>
        <v>3.7548283728221021E-4</v>
      </c>
      <c r="CZ98" s="267">
        <f>INDEX($M$86:$Z$100,MATCH($CW98,$L$86:$L$100,0),MATCH(CZ$87,$M$87:$Z$87,0))/INDEX(고양시_재차인원!$K$4:$O$20,MATCH("경기도",고양시_재차인원!$K$4:$K$20,0),MATCH($CZ$87,고양시_재차인원!$K$4:$O$4,0))</f>
        <v>0.10438422876445443</v>
      </c>
      <c r="DA98" s="267">
        <f>INDEX($M$86:$Z$100,MATCH($CW98,$L$86:$L$100,0),MATCH(DA$87,$M$87:$Z$87,0))/INDEX(고양시_재차인원!$D$4:$H$35,MATCH("고양시",고양시_재차인원!$B$4:$B$35,0),MATCH($CX$86,고양시_재차인원!$D$4:$H$4,0))</f>
        <v>2.9148799708724629</v>
      </c>
      <c r="DB98" s="267">
        <f>INDEX($AA$86:$AN$100,MATCH($CW98,$L$86:$L$100,0),MATCH(DB$87,$AA$87:$AN$87,0))/INDEX(고양시_재차인원!$D$4:$H$35,MATCH("고양시",고양시_재차인원!$B$4:$B$35,0),MATCH($DB$86,고양시_재차인원!$D$4:$H$4,0))</f>
        <v>260.95070308336534</v>
      </c>
      <c r="DC98" s="267">
        <f>INDEX($AA$86:$AN$100,MATCH($CW98,$L$86:$L$100,0),MATCH(DC$87,$AA$87:$AN$87,0))/INDEX(고양시_재차인원!$K$4:$O$20,MATCH("경기도",고양시_재차인원!$K$4:$K$20,0),MATCH(DC$87,고양시_재차인원!$K$4:$O$4,0))</f>
        <v>2.7174461103293551E-3</v>
      </c>
      <c r="DD98" s="267">
        <f>INDEX($AA$86:$AN$100,MATCH($CW98,$L$86:$L$100,0),MATCH(DD$87,$AA$87:$AN$87,0))/INDEX(고양시_재차인원!$K$4:$O$20,MATCH("경기도",고양시_재차인원!$K$4:$K$20,0),MATCH(DD$87,고양시_재차인원!$K$4:$O$4,0))</f>
        <v>0.75545001867156047</v>
      </c>
      <c r="DE98" s="267">
        <f>INDEX($AA$86:$AN$100,MATCH($CW98,$L$86:$L$100,0),MATCH(DE$87,$AA$87:$AN$87,0))/INDEX(고양시_재차인원!$D$4:$H$35,MATCH("고양시",고양시_재차인원!$B$4:$B$35,0),MATCH($DB$86,고양시_재차인원!$D$4:$H$4,0))</f>
        <v>16.756774894998156</v>
      </c>
      <c r="DF98" s="267">
        <f>INDEX($AO$86:$BB$100,MATCH($CW98,$L$86:$L$100,0),MATCH(DF$87,$AO$87:$BB$87,0))/INDEX(고양시_재차인원!$D$4:$H$35,MATCH("고양시",고양시_재차인원!$B$4:$B$35,0),MATCH($DF$86,고양시_재차인원!$D$4:$H$4,0))</f>
        <v>16.236796353396084</v>
      </c>
      <c r="DG98" s="267">
        <f>INDEX($AO$86:$BB$100,MATCH($CW98,$L$86:$L$100,0),MATCH(DG$87,$AO$87:$BB$87,0))/INDEX(고양시_재차인원!$K$4:$O$20,MATCH("경기도",고양시_재차인원!$K$4:$K$20,0),MATCH(DG$87,고양시_재차인원!$K$4:$O$4,0))</f>
        <v>1.5589315710564169E-4</v>
      </c>
      <c r="DH98" s="267">
        <f>INDEX($AO$86:$BB$100,MATCH($CW98,$L$86:$L$100,0),MATCH(DH$87,$AO$87:$BB$87,0))/INDEX(고양시_재차인원!$K$4:$O$20,MATCH("경기도",고양시_재차인원!$K$4:$K$20,0),MATCH(DH$87,고양시_재차인원!$K$4:$O$4,0))</f>
        <v>4.3338297675368391E-2</v>
      </c>
      <c r="DI98" s="267">
        <f>INDEX($AO$86:$BB$100,MATCH($CW98,$L$86:$L$100,0),MATCH(DI$87,$AO$87:$BB$87,0))/INDEX(고양시_재차인원!$D$4:$H$35,MATCH("고양시",고양시_재차인원!$B$4:$B$35,0),MATCH($DF$86,고양시_재차인원!$D$4:$H$4,0))</f>
        <v>1.0426350199289001</v>
      </c>
      <c r="DJ98" s="267">
        <f>INDEX($BC$86:$BP$100,MATCH($CW98,$L$86:$L$100,0),MATCH(DJ$87,$BC$87:$BP$87,0))/INDEX(고양시_재차인원!$D$4:$H$35,MATCH("고양시",고양시_재차인원!$B$4:$B$35,0),MATCH($DJ$86,고양시_재차인원!$D$4:$H$4,0))</f>
        <v>2.4390466897607495E-2</v>
      </c>
      <c r="DK98" s="267">
        <f>INDEX($BC$86:$BP$100,MATCH($CW98,$L$86:$L$100,0),MATCH(DK$87,$BC$87:$BP$87,0))/INDEX(고양시_재차인원!$K$4:$O$20,MATCH("경기도",고양시_재차인원!$K$4:$K$20,0),MATCH(DK$87,고양시_재차인원!$K$4:$O$4,0))</f>
        <v>2.449866271958739E-7</v>
      </c>
      <c r="DL98" s="267">
        <f>INDEX($BC$86:$BP$100,MATCH($CW98,$L$86:$L$100,0),MATCH(DL$87,$BC$87:$BP$87,0))/INDEX(고양시_재차인원!$K$4:$O$20,MATCH("경기도",고양시_재차인원!$K$4:$K$20,0),MATCH(DL$87,고양시_재차인원!$K$4:$O$4,0))</f>
        <v>6.8106282360452932E-5</v>
      </c>
      <c r="DM98" s="267">
        <f>INDEX($BC$86:$BP$100,MATCH($CW98,$L$86:$L$100,0),MATCH(DM$87,$BC$87:$BP$87,0))/INDEX(고양시_재차인원!$D$4:$H$35,MATCH("고양시",고양시_재차인원!$B$4:$B$35,0),MATCH($DJ$86,고양시_재차인원!$D$4:$H$4,0))</f>
        <v>1.5662175213858099E-3</v>
      </c>
      <c r="DN98" s="267">
        <f>INDEX($BQ$86:$CD$100,MATCH($CW98,$L$86:$L$100,0),MATCH(DN$87,$BQ$87:$CD$87,0))/INDEX(고양시_재차인원!$D$4:$H$35,MATCH("고양시",고양시_재차인원!$B$4:$B$35,0),MATCH($DN$86,고양시_재차인원!$D$4:$H$4,0))</f>
        <v>9.9454602235041781E-2</v>
      </c>
      <c r="DO98" s="267">
        <f>INDEX($BQ$86:$CD$100,MATCH($CW98,$L$86:$L$100,0),MATCH(DO$87,$BQ$87:$CD$87,0))/INDEX(고양시_재차인원!$K$4:$O$20,MATCH("경기도",고양시_재차인원!$K$4:$K$20,0),MATCH(DO$87,고양시_재차인원!$K$4:$O$4,0))</f>
        <v>9.2550503607330427E-7</v>
      </c>
      <c r="DP98" s="267">
        <f>INDEX($BQ$86:$CD$100,MATCH($CW98,$L$86:$L$100,0),MATCH(DP$87,$BQ$87:$CD$87,0))/INDEX(고양시_재차인원!$K$4:$O$20,MATCH("경기도",고양시_재차인원!$K$4:$K$20,0),MATCH(DP$87,고양시_재차인원!$K$4:$O$4,0))</f>
        <v>2.5729040002837856E-4</v>
      </c>
      <c r="DQ98" s="267">
        <f>INDEX($BQ$86:$CD$100,MATCH($CW98,$L$86:$L$100,0),MATCH(DQ$87,$BQ$87:$CD$87,0))/INDEX(고양시_재차인원!$D$4:$H$35,MATCH("고양시",고양시_재차인원!$B$4:$B$35,0),MATCH($DN$86,고양시_재차인원!$D$4:$H$4,0))</f>
        <v>6.3864107750335143E-3</v>
      </c>
      <c r="DR98" s="270">
        <f t="shared" si="71"/>
        <v>322.70432630395101</v>
      </c>
      <c r="DS98" s="270">
        <f t="shared" si="64"/>
        <v>3.249992596380476E-3</v>
      </c>
      <c r="DT98" s="270">
        <f t="shared" si="65"/>
        <v>0.90349794179377207</v>
      </c>
      <c r="DU98" s="270">
        <f t="shared" si="66"/>
        <v>20.722242514095935</v>
      </c>
      <c r="DW98" s="278" t="s">
        <v>170</v>
      </c>
      <c r="DX98" s="278" t="s">
        <v>170</v>
      </c>
      <c r="DY98" s="281">
        <f t="shared" si="72"/>
        <v>343.42656881804692</v>
      </c>
      <c r="DZ98" s="281">
        <f t="shared" si="73"/>
        <v>0.90674793439015255</v>
      </c>
      <c r="EB98" s="278" t="s">
        <v>171</v>
      </c>
      <c r="EC98" s="278" t="s">
        <v>171</v>
      </c>
      <c r="ED98" s="281">
        <f t="shared" si="81"/>
        <v>13.792992480241498</v>
      </c>
      <c r="EE98" s="281">
        <f t="shared" si="80"/>
        <v>3.6417588434004299E-2</v>
      </c>
      <c r="EK98" s="420" t="s">
        <v>47</v>
      </c>
      <c r="EL98" s="420" t="s">
        <v>47</v>
      </c>
      <c r="EM98" s="420" t="s">
        <v>571</v>
      </c>
      <c r="EN98" s="420">
        <v>2430.8498</v>
      </c>
      <c r="EO98" s="420">
        <v>0.25465418977491561</v>
      </c>
      <c r="EP98" s="421">
        <v>849011</v>
      </c>
      <c r="EQ98" s="422">
        <f t="shared" si="75"/>
        <v>64.030262854799645</v>
      </c>
      <c r="ER98" s="422">
        <f t="shared" si="76"/>
        <v>0.16905887270710512</v>
      </c>
      <c r="ES98">
        <v>0</v>
      </c>
      <c r="EU98" s="306" t="s">
        <v>47</v>
      </c>
      <c r="EV98" s="306" t="s">
        <v>47</v>
      </c>
      <c r="EW98" s="306" t="s">
        <v>571</v>
      </c>
      <c r="EX98" s="306">
        <v>2430.8498</v>
      </c>
      <c r="EY98" s="306">
        <v>0.25465418977491561</v>
      </c>
      <c r="EZ98" s="307">
        <v>849011</v>
      </c>
      <c r="FA98" s="308">
        <f t="shared" si="77"/>
        <v>64.030262854799645</v>
      </c>
      <c r="FB98" s="308">
        <f t="shared" si="68"/>
        <v>0.16905887270710512</v>
      </c>
      <c r="FD98" s="101"/>
      <c r="FE98" s="101"/>
      <c r="FF98" s="101"/>
      <c r="FG98" s="101"/>
      <c r="FH98" s="101"/>
      <c r="FI98" s="374"/>
      <c r="FJ98" s="404"/>
      <c r="FK98" s="404"/>
    </row>
    <row r="99" spans="1:167">
      <c r="A99" s="205" t="s">
        <v>171</v>
      </c>
      <c r="B99" s="205" t="s">
        <v>171</v>
      </c>
      <c r="C99" s="201">
        <f>$K40*KTDB_TripDistribution_2035!T$12</f>
        <v>4.341665538142248</v>
      </c>
      <c r="D99" s="201">
        <f>$K40*KTDB_TripDistribution_2035!U$12</f>
        <v>31.421521724861645</v>
      </c>
      <c r="E99" s="201">
        <f>$K40*KTDB_TripDistribution_2035!V$12</f>
        <v>1.8025749265579747</v>
      </c>
      <c r="F99" s="201">
        <f>$K40*KTDB_TripDistribution_2035!W$12</f>
        <v>2.8327526347165545E-3</v>
      </c>
      <c r="G99" s="201">
        <f>$K40*KTDB_TripDistribution_2035!X$12</f>
        <v>1.0701509953373683E-2</v>
      </c>
      <c r="H99" s="201">
        <f>$K40*KTDB_TripDistribution_2035!Y$12</f>
        <v>37.579296452149961</v>
      </c>
      <c r="I99" s="56"/>
      <c r="J99" s="56"/>
      <c r="K99" s="206" t="s">
        <v>171</v>
      </c>
      <c r="L99" s="206" t="s">
        <v>171</v>
      </c>
      <c r="M99" s="206">
        <f>INDEX($A$87:$H$100,MATCH($L99,$B$87:$B$100,0),MATCH($M$86,$A$87:$H$87,0))*고양시_Modal_split!C$3 * 0.01</f>
        <v>1.2156663506798294E-2</v>
      </c>
      <c r="N99" s="206">
        <f>INDEX($A$87:$H$100,MATCH($L99,$B$87:$B$100,0),MATCH($M$86,$A$87:$H$87,0))*고양시_Modal_split!D$3 * 0.01</f>
        <v>2.0418853025882995</v>
      </c>
      <c r="O99" s="206">
        <f>INDEX($A$87:$H$100,MATCH($L99,$B$87:$B$100,0),MATCH($M$86,$A$87:$H$87,0))*고양시_Modal_split!E$3 * 0.01</f>
        <v>0.24704076912029391</v>
      </c>
      <c r="P99" s="206">
        <f>INDEX($A$87:$H$100,MATCH($L99,$B$87:$B$100,0),MATCH($M$86,$A$87:$H$87,0))*고양시_Modal_split!F$3 * 0.01</f>
        <v>0.39813072984764414</v>
      </c>
      <c r="Q99" s="206">
        <f>INDEX($A$87:$H$100,MATCH($L99,$B$87:$B$100,0),MATCH($M$86,$A$87:$H$87,0))*고양시_Modal_split!G$3 * 0.01</f>
        <v>3.9943322950908682E-2</v>
      </c>
      <c r="R99" s="206">
        <f>INDEX($A$87:$H$100,MATCH($L99,$B$87:$B$100,0),MATCH($M$86,$A$87:$H$87,0))*고양시_Modal_split!H$3 * 0.01</f>
        <v>4.3416655381422483E-4</v>
      </c>
      <c r="S99" s="206">
        <f>INDEX($A$87:$H$100,MATCH($L99,$B$87:$B$100,0),MATCH($M$86,$A$87:$H$87,0))*고양시_Modal_split!I$3 * 0.01</f>
        <v>0.12069830196035448</v>
      </c>
      <c r="T99" s="206">
        <f>INDEX($A$87:$H$100,MATCH($L99,$B$87:$B$100,0),MATCH($M$86,$A$87:$H$87,0))*고양시_Modal_split!J$3 * 0.01</f>
        <v>1.3216029898105004</v>
      </c>
      <c r="U99" s="206">
        <f>INDEX($A$87:$H$100,MATCH($L99,$B$87:$B$100,0),MATCH($M$86,$A$87:$H$87,0))*고양시_Modal_split!K$3 * 0.01</f>
        <v>6.5124983072133713E-3</v>
      </c>
      <c r="V99" s="206">
        <f>INDEX($A$87:$H$100,MATCH($L99,$B$87:$B$100,0),MATCH($M$86,$A$87:$H$87,0))*고양시_Modal_split!L$3 * 0.01</f>
        <v>0.13111829925189589</v>
      </c>
      <c r="W99" s="206">
        <f>INDEX($A$87:$H$100,MATCH($L99,$B$87:$B$100,0),MATCH($M$86,$A$87:$H$87,0))*고양시_Modal_split!M$3 * 0.01</f>
        <v>9.9858307377271704E-3</v>
      </c>
      <c r="X99" s="206">
        <f>INDEX($A$87:$H$100,MATCH($L99,$B$87:$B$100,0),MATCH($M$86,$A$87:$H$87,0))*고양시_Modal_split!N$3 * 0.01</f>
        <v>4.3416655381422484E-3</v>
      </c>
      <c r="Y99" s="206">
        <f>INDEX($A$87:$H$100,MATCH($L99,$B$87:$B$100,0),MATCH($M$86,$A$87:$H$87,0))*고양시_Modal_split!O$3 * 0.01</f>
        <v>7.8149979686560449E-3</v>
      </c>
      <c r="Z99" s="209">
        <f>INDEX($A$87:$H$100,MATCH($L99,$B$87:$B$100,0),MATCH($M$86,$A$87:$H$87,0))*고양시_Modal_split!P$3 * 0.01</f>
        <v>4.341665538142248</v>
      </c>
      <c r="AA99" s="207">
        <f>INDEX($A$87:$H$100,MATCH($L99,$B$87:$B$100,0),MATCH($AA$86,$A$87:$H$87,0))*고양시_Modal_split!C$3 * 0.01</f>
        <v>8.7980260829612592E-2</v>
      </c>
      <c r="AB99" s="207">
        <f>INDEX($A$87:$H$100,MATCH($L99,$B$87:$B$100,0),MATCH($AA$86,$A$87:$H$87,0))*고양시_Modal_split!D$3 * 0.01</f>
        <v>14.777541667202431</v>
      </c>
      <c r="AC99" s="207">
        <f>INDEX($A$87:$H$100,MATCH($L99,$B$87:$B$100,0),MATCH($AA$86,$A$87:$H$87,0))*고양시_Modal_split!E$3 * 0.01</f>
        <v>1.7878845861446275</v>
      </c>
      <c r="AD99" s="207">
        <f>INDEX($A$87:$H$100,MATCH($L99,$B$87:$B$100,0),MATCH($AA$86,$A$87:$H$87,0))*고양시_Modal_split!F$3 * 0.01</f>
        <v>2.8813535421698129</v>
      </c>
      <c r="AE99" s="207">
        <f>INDEX($A$87:$H$100,MATCH($L99,$B$87:$B$100,0),MATCH($AA$86,$A$87:$H$87,0))*고양시_Modal_split!G$3 * 0.01</f>
        <v>0.28907799986872712</v>
      </c>
      <c r="AF99" s="207">
        <f>INDEX($A$87:$H$100,MATCH($L99,$B$87:$B$100,0),MATCH($AA$86,$A$87:$H$87,0))*고양시_Modal_split!H$3 * 0.01</f>
        <v>3.1421521724861647E-3</v>
      </c>
      <c r="AG99" s="207">
        <f>INDEX($A$87:$H$100,MATCH($L99,$B$87:$B$100,0),MATCH($AA$86,$A$87:$H$87,0))*고양시_Modal_split!I$3 * 0.01</f>
        <v>0.87351830395115371</v>
      </c>
      <c r="AH99" s="207">
        <f>INDEX($A$87:$H$100,MATCH($L99,$B$87:$B$100,0),MATCH($AA$86,$A$87:$H$87,0))*고양시_Modal_split!J$3 * 0.01</f>
        <v>9.564711213047886</v>
      </c>
      <c r="AI99" s="207">
        <f>INDEX($A$87:$H$100,MATCH($L99,$B$87:$B$100,0),MATCH($AA$86,$A$87:$H$87,0))*고양시_Modal_split!K$3 * 0.01</f>
        <v>4.7132282587292469E-2</v>
      </c>
      <c r="AJ99" s="207">
        <f>INDEX($A$87:$H$100,MATCH($L99,$B$87:$B$100,0),MATCH($AA$86,$A$87:$H$87,0))*고양시_Modal_split!L$3 * 0.01</f>
        <v>0.94892995609082165</v>
      </c>
      <c r="AK99" s="207">
        <f>INDEX($A$87:$H$100,MATCH($L99,$B$87:$B$100,0),MATCH($AA$86,$A$87:$H$87,0))*고양시_Modal_split!M$3 * 0.01</f>
        <v>7.226949996718178E-2</v>
      </c>
      <c r="AL99" s="207">
        <f>INDEX($A$87:$H$100,MATCH($L99,$B$87:$B$100,0),MATCH($AA$86,$A$87:$H$87,0))*고양시_Modal_split!N$3 * 0.01</f>
        <v>3.1421521724861651E-2</v>
      </c>
      <c r="AM99" s="207">
        <f>INDEX($A$87:$H$100,MATCH($L99,$B$87:$B$100,0),MATCH($AA$86,$A$87:$H$87,0))*고양시_Modal_split!O$3 * 0.01</f>
        <v>5.6558739104750962E-2</v>
      </c>
      <c r="AN99" s="207">
        <f>INDEX($A$87:$H$100,MATCH($L99,$B$87:$B$100,0),MATCH($AA$86,$A$87:$H$87,0))*고양시_Modal_split!P$3 * 0.01</f>
        <v>31.421521724861645</v>
      </c>
      <c r="AO99" s="303">
        <f>INDEX($A$87:$H$100,MATCH($L99,$B$87:$B$100,0),MATCH($AO$86,$A$87:$H$87,0))*고양시_Modal_split!C$3 * 0.01</f>
        <v>5.0472097943623289E-3</v>
      </c>
      <c r="AP99" s="303">
        <f>INDEX($A$87:$H$100,MATCH($L99,$B$87:$B$100,0),MATCH($AO$86,$A$87:$H$87,0))*고양시_Modal_split!D$3 * 0.01</f>
        <v>0.84775098796021553</v>
      </c>
      <c r="AQ99" s="303">
        <f>INDEX($A$87:$H$100,MATCH($L99,$B$87:$B$100,0),MATCH($AO$86,$A$87:$H$87,0))*고양시_Modal_split!E$3 * 0.01</f>
        <v>0.10256651332114876</v>
      </c>
      <c r="AR99" s="303">
        <f>INDEX($A$87:$H$100,MATCH($L99,$B$87:$B$100,0),MATCH($AO$86,$A$87:$H$87,0))*고양시_Modal_split!F$3 * 0.01</f>
        <v>0.16529612076536626</v>
      </c>
      <c r="AS99" s="303">
        <f>INDEX($A$87:$H$100,MATCH($L99,$B$87:$B$100,0),MATCH($AO$86,$A$87:$H$87,0))*고양시_Modal_split!G$3 * 0.01</f>
        <v>1.6583689324333368E-2</v>
      </c>
      <c r="AT99" s="303">
        <f>INDEX($A$87:$H$100,MATCH($L99,$B$87:$B$100,0),MATCH($AO$86,$A$87:$H$87,0))*고양시_Modal_split!H$3 * 0.01</f>
        <v>1.8025749265579747E-4</v>
      </c>
      <c r="AU99" s="303">
        <f>INDEX($A$87:$H$100,MATCH($L99,$B$87:$B$100,0),MATCH($AO$86,$A$87:$H$87,0))*고양시_Modal_split!I$3 * 0.01</f>
        <v>5.0111582958311696E-2</v>
      </c>
      <c r="AV99" s="303">
        <f>INDEX($A$87:$H$100,MATCH($L99,$B$87:$B$100,0),MATCH($AO$86,$A$87:$H$87,0))*고양시_Modal_split!J$3 * 0.01</f>
        <v>0.54870380764424753</v>
      </c>
      <c r="AW99" s="303">
        <f>INDEX($A$87:$H$100,MATCH($L99,$B$87:$B$100,0),MATCH($AO$86,$A$87:$H$87,0))*고양시_Modal_split!K$3 * 0.01</f>
        <v>2.7038623898369618E-3</v>
      </c>
      <c r="AX99" s="303">
        <f>INDEX($A$87:$H$100,MATCH($L99,$B$87:$B$100,0),MATCH($AO$86,$A$87:$H$87,0))*고양시_Modal_split!L$3 * 0.01</f>
        <v>5.4437762782050834E-2</v>
      </c>
      <c r="AY99" s="303">
        <f>INDEX($A$87:$H$100,MATCH($L99,$B$87:$B$100,0),MATCH($AO$86,$A$87:$H$87,0))*고양시_Modal_split!M$3 * 0.01</f>
        <v>4.145922331083342E-3</v>
      </c>
      <c r="AZ99" s="303">
        <f>INDEX($A$87:$H$100,MATCH($L99,$B$87:$B$100,0),MATCH($AO$86,$A$87:$H$87,0))*고양시_Modal_split!N$3 * 0.01</f>
        <v>1.802574926557975E-3</v>
      </c>
      <c r="BA99" s="207">
        <f>INDEX($A$87:$H$100,MATCH($L99,$B$87:$B$100,0),MATCH($AO$86,$A$87:$H$87,0))*고양시_Modal_split!O$3 * 0.01</f>
        <v>3.2446348678043541E-3</v>
      </c>
      <c r="BB99" s="207">
        <f>INDEX($A$87:$H$100,MATCH($L99,$B$87:$B$100,0),MATCH($AO$86,$A$87:$H$87,0))*고양시_Modal_split!P$3 * 0.01</f>
        <v>1.8025749265579749</v>
      </c>
      <c r="BC99" s="207">
        <f>INDEX($A$87:$H$100,MATCH($L99,$B$87:$B$100,0),MATCH($BC$86,$A$87:$H$87,0))*고양시_Modal_split!C$3 * 0.01</f>
        <v>7.9317073772063514E-6</v>
      </c>
      <c r="BD99" s="207">
        <f>INDEX($A$87:$H$100,MATCH($L99,$B$87:$B$100,0),MATCH($BC$86,$A$87:$H$87,0))*고양시_Modal_split!D$3 * 0.01</f>
        <v>1.3322435641071955E-3</v>
      </c>
      <c r="BE99" s="207">
        <f>INDEX($A$87:$H$100,MATCH($L99,$B$87:$B$100,0),MATCH($BC$86,$A$87:$H$87,0))*고양시_Modal_split!E$3 * 0.01</f>
        <v>1.6118362491537194E-4</v>
      </c>
      <c r="BF99" s="207">
        <f>INDEX($A$87:$H$100,MATCH($L99,$B$87:$B$100,0),MATCH($BC$86,$A$87:$H$87,0))*고양시_Modal_split!F$3 * 0.01</f>
        <v>2.5976341660350808E-4</v>
      </c>
      <c r="BG99" s="207">
        <f>INDEX($A$87:$H$100,MATCH($L99,$B$87:$B$100,0),MATCH($BC$86,$A$87:$H$87,0))*고양시_Modal_split!G$3 * 0.01</f>
        <v>2.60613242393923E-5</v>
      </c>
      <c r="BH99" s="207">
        <f>INDEX($A$87:$H$100,MATCH($L99,$B$87:$B$100,0),MATCH($BC$86,$A$87:$H$87,0))*고양시_Modal_split!H$3 * 0.01</f>
        <v>2.8327526347165548E-7</v>
      </c>
      <c r="BI99" s="207">
        <f>INDEX($A$87:$H$100,MATCH($L99,$B$87:$B$100,0),MATCH($BC$86,$A$87:$H$87,0))*고양시_Modal_split!I$3 * 0.01</f>
        <v>7.8750523245120209E-5</v>
      </c>
      <c r="BJ99" s="207">
        <f>INDEX($A$87:$H$100,MATCH($L99,$B$87:$B$100,0),MATCH($BC$86,$A$87:$H$87,0))*고양시_Modal_split!J$3 * 0.01</f>
        <v>8.6228990200771919E-4</v>
      </c>
      <c r="BK99" s="207">
        <f>INDEX($A$87:$H$100,MATCH($L99,$B$87:$B$100,0),MATCH($BC$86,$A$87:$H$87,0))*고양시_Modal_split!K$3 * 0.01</f>
        <v>4.2491289520748317E-6</v>
      </c>
      <c r="BL99" s="207">
        <f>INDEX($A$87:$H$100,MATCH($L99,$B$87:$B$100,0),MATCH($BC$86,$A$87:$H$87,0))*고양시_Modal_split!L$3 * 0.01</f>
        <v>8.5549129568439938E-5</v>
      </c>
      <c r="BM99" s="207">
        <f>INDEX($A$87:$H$100,MATCH($L99,$B$87:$B$100,0),MATCH($BC$86,$A$87:$H$87,0))*고양시_Modal_split!M$3 * 0.01</f>
        <v>6.515331059848075E-6</v>
      </c>
      <c r="BN99" s="207">
        <f>INDEX($A$87:$H$100,MATCH($L99,$B$87:$B$100,0),MATCH($BC$86,$A$87:$H$87,0))*고양시_Modal_split!N$3 * 0.01</f>
        <v>2.8327526347165544E-6</v>
      </c>
      <c r="BO99" s="207">
        <f>INDEX($A$87:$H$100,MATCH($L99,$B$87:$B$100,0),MATCH($BC$86,$A$87:$H$87,0))*고양시_Modal_split!O$3 * 0.01</f>
        <v>5.0989547424897987E-6</v>
      </c>
      <c r="BP99" s="207">
        <f>INDEX($A$87:$H$100,MATCH($L99,$B$87:$B$100,0),MATCH($BC$86,$A$87:$H$87,0))*고양시_Modal_split!P$3 * 0.01</f>
        <v>2.8327526347165545E-3</v>
      </c>
      <c r="BQ99" s="207">
        <f>INDEX($A$87:$H$100,MATCH($L99,$B$87:$B$100,0),MATCH($BQ$86,$A$87:$H$87,0))*고양시_Modal_split!C$3 * 0.01</f>
        <v>2.9964227869446311E-5</v>
      </c>
      <c r="BR99" s="207">
        <f>INDEX($A$87:$H$100,MATCH($L99,$B$87:$B$100,0),MATCH($BQ$86,$A$87:$H$87,0))*고양시_Modal_split!D$3 * 0.01</f>
        <v>5.0329201310716429E-3</v>
      </c>
      <c r="BS99" s="207">
        <f>INDEX($A$87:$H$100,MATCH($L99,$B$87:$B$100,0),MATCH($BQ$86,$A$87:$H$87,0))*고양시_Modal_split!E$3 * 0.01</f>
        <v>6.0891591634696252E-4</v>
      </c>
      <c r="BT99" s="207">
        <f>INDEX($A$87:$H$100,MATCH($L99,$B$87:$B$100,0),MATCH($BQ$86,$A$87:$H$87,0))*고양시_Modal_split!F$3 * 0.01</f>
        <v>9.8132846272436691E-4</v>
      </c>
      <c r="BU99" s="207">
        <f>INDEX($A$87:$H$100,MATCH($L99,$B$87:$B$100,0),MATCH($BQ$86,$A$87:$H$87,0))*고양시_Modal_split!G$3 * 0.01</f>
        <v>9.8453891571037878E-5</v>
      </c>
      <c r="BV99" s="207">
        <f>INDEX($A$87:$H$100,MATCH($L99,$B$87:$B$100,0),MATCH($BQ$86,$A$87:$H$87,0))*고양시_Modal_split!H$3 * 0.01</f>
        <v>1.0701509953373683E-6</v>
      </c>
      <c r="BW99" s="207">
        <f>INDEX($A$87:$H$100,MATCH($L99,$B$87:$B$100,0),MATCH($BQ$86,$A$87:$H$87,0))*고양시_Modal_split!I$3 * 0.01</f>
        <v>2.9750197670378841E-4</v>
      </c>
      <c r="BX99" s="207">
        <f>INDEX($A$87:$H$100,MATCH($L99,$B$87:$B$100,0),MATCH($BQ$86,$A$87:$H$87,0))*고양시_Modal_split!J$3 * 0.01</f>
        <v>3.2575396298069495E-3</v>
      </c>
      <c r="BY99" s="207">
        <f>INDEX($A$87:$H$100,MATCH($L99,$B$87:$B$100,0),MATCH($BQ$86,$A$87:$H$87,0))*고양시_Modal_split!K$3 * 0.01</f>
        <v>1.6052264930060523E-5</v>
      </c>
      <c r="BZ99" s="207">
        <f>INDEX($A$87:$H$100,MATCH($L99,$B$87:$B$100,0),MATCH($BQ$86,$A$87:$H$87,0))*고양시_Modal_split!L$3 * 0.01</f>
        <v>3.2318560059188528E-4</v>
      </c>
      <c r="CA99" s="207">
        <f>INDEX($A$87:$H$100,MATCH($L99,$B$87:$B$100,0),MATCH($BQ$86,$A$87:$H$87,0))*고양시_Modal_split!M$3 * 0.01</f>
        <v>2.4613472892759469E-5</v>
      </c>
      <c r="CB99" s="207">
        <f>INDEX($A$87:$H$100,MATCH($L99,$B$87:$B$100,0),MATCH($BQ$86,$A$87:$H$87,0))*고양시_Modal_split!N$3 * 0.01</f>
        <v>1.0701509953373685E-5</v>
      </c>
      <c r="CC99" s="207">
        <f>INDEX($A$87:$H$100,MATCH($L99,$B$87:$B$100,0),MATCH($BQ$86,$A$87:$H$87,0))*고양시_Modal_split!O$3 * 0.01</f>
        <v>1.9262717916072632E-5</v>
      </c>
      <c r="CD99" s="207">
        <f>INDEX($A$87:$H$100,MATCH($L99,$B$87:$B$100,0),MATCH($BQ$86,$A$87:$H$87,0))*고양시_Modal_split!P$3 * 0.01</f>
        <v>1.0701509953373685E-2</v>
      </c>
      <c r="CE99" s="304">
        <f t="shared" si="69"/>
        <v>0.10522203006601986</v>
      </c>
      <c r="CF99" s="304">
        <f t="shared" si="51"/>
        <v>17.673543121446123</v>
      </c>
      <c r="CG99" s="304">
        <f t="shared" si="52"/>
        <v>2.1382619681273325</v>
      </c>
      <c r="CH99" s="304">
        <f t="shared" si="53"/>
        <v>3.4460214846621513</v>
      </c>
      <c r="CI99" s="304">
        <f t="shared" si="54"/>
        <v>0.34572952735977958</v>
      </c>
      <c r="CJ99" s="304">
        <f t="shared" si="55"/>
        <v>3.7579296452149957E-3</v>
      </c>
      <c r="CK99" s="304">
        <f t="shared" si="56"/>
        <v>1.0447044413697688</v>
      </c>
      <c r="CL99" s="304">
        <f t="shared" si="57"/>
        <v>11.43913784003445</v>
      </c>
      <c r="CM99" s="304">
        <f t="shared" si="58"/>
        <v>5.6368944678224939E-2</v>
      </c>
      <c r="CN99" s="304">
        <f t="shared" si="59"/>
        <v>1.1348947528549287</v>
      </c>
      <c r="CO99" s="304">
        <f t="shared" si="60"/>
        <v>8.6432381839944894E-2</v>
      </c>
      <c r="CP99" s="304">
        <f t="shared" si="61"/>
        <v>3.7579296452149968E-2</v>
      </c>
      <c r="CQ99" s="304">
        <f t="shared" si="62"/>
        <v>6.764273361386991E-2</v>
      </c>
      <c r="CR99" s="304">
        <f t="shared" si="63"/>
        <v>37.579296452149954</v>
      </c>
      <c r="CS99" s="305">
        <f t="shared" si="70"/>
        <v>0</v>
      </c>
      <c r="CV99" s="267" t="s">
        <v>171</v>
      </c>
      <c r="CW99" s="267" t="s">
        <v>171</v>
      </c>
      <c r="CX99" s="267">
        <f>INDEX($M$86:$Z$100,MATCH($CW99,$L$86:$L$100,0),MATCH(CX$87,$M$87:$Z$87,0))/INDEX(고양시_재차인원!$D$4:$H$35,MATCH("고양시",고양시_재차인원!$B$4:$B$35,0),MATCH($CX$86,고양시_재차인원!$D$4:$H$4,0))</f>
        <v>1.8231118773109816</v>
      </c>
      <c r="CY99" s="267">
        <f>INDEX($M$86:$Z$100,MATCH($CW99,$L$86:$L$100,0),MATCH(CY$87,$M$87:$Z$87,0))/INDEX(고양시_재차인원!$K$4:$O$20,MATCH("경기도",고양시_재차인원!$K$4:$K$20,0),MATCH($CY$87,고양시_재차인원!$K$4:$O$4,0))</f>
        <v>1.5080463835158903E-5</v>
      </c>
      <c r="CZ99" s="267">
        <f>INDEX($M$86:$Z$100,MATCH($CW99,$L$86:$L$100,0),MATCH(CZ$87,$M$87:$Z$87,0))/INDEX(고양시_재차인원!$K$4:$O$20,MATCH("경기도",고양시_재차인원!$K$4:$K$20,0),MATCH($CZ$87,고양시_재차인원!$K$4:$O$4,0))</f>
        <v>4.1923689461741747E-3</v>
      </c>
      <c r="DA99" s="267">
        <f>INDEX($M$86:$Z$100,MATCH($CW99,$L$86:$L$100,0),MATCH(DA$87,$M$87:$Z$87,0))/INDEX(고양시_재차인원!$D$4:$H$35,MATCH("고양시",고양시_재차인원!$B$4:$B$35,0),MATCH($CX$86,고양시_재차인원!$D$4:$H$4,0))</f>
        <v>0.1170699100463356</v>
      </c>
      <c r="DB99" s="267">
        <f>INDEX($AA$86:$AN$100,MATCH($CW99,$L$86:$L$100,0),MATCH(DB$87,$AA$87:$AN$87,0))/INDEX(고양시_재차인원!$D$4:$H$35,MATCH("고양시",고양시_재차인원!$B$4:$B$35,0),MATCH($DB$86,고양시_재차인원!$D$4:$H$4,0))</f>
        <v>10.480526005108107</v>
      </c>
      <c r="DC99" s="267">
        <f>INDEX($AA$86:$AN$100,MATCH($CW99,$L$86:$L$100,0),MATCH(DC$87,$AA$87:$AN$87,0))/INDEX(고양시_재차인원!$K$4:$O$20,MATCH("경기도",고양시_재차인원!$K$4:$K$20,0),MATCH(DC$87,고양시_재차인원!$K$4:$O$4,0))</f>
        <v>1.0914040196200642E-4</v>
      </c>
      <c r="DD99" s="267">
        <f>INDEX($AA$86:$AN$100,MATCH($CW99,$L$86:$L$100,0),MATCH(DD$87,$AA$87:$AN$87,0))/INDEX(고양시_재차인원!$K$4:$O$20,MATCH("경기도",고양시_재차인원!$K$4:$K$20,0),MATCH(DD$87,고양시_재차인원!$K$4:$O$4,0))</f>
        <v>3.0341031745437782E-2</v>
      </c>
      <c r="DE99" s="267">
        <f>INDEX($AA$86:$AN$100,MATCH($CW99,$L$86:$L$100,0),MATCH(DE$87,$AA$87:$AN$87,0))/INDEX(고양시_재차인원!$D$4:$H$35,MATCH("고양시",고양시_재차인원!$B$4:$B$35,0),MATCH($DB$86,고양시_재차인원!$D$4:$H$4,0))</f>
        <v>0.67299996885873881</v>
      </c>
      <c r="DF99" s="267">
        <f>INDEX($AO$86:$BB$100,MATCH($CW99,$L$86:$L$100,0),MATCH(DF$87,$AO$87:$BB$87,0))/INDEX(고양시_재차인원!$D$4:$H$35,MATCH("고양시",고양시_재차인원!$B$4:$B$35,0),MATCH($DF$86,고양시_재차인원!$D$4:$H$4,0))</f>
        <v>0.65211614458478118</v>
      </c>
      <c r="DG99" s="267">
        <f>INDEX($AO$86:$BB$100,MATCH($CW99,$L$86:$L$100,0),MATCH(DG$87,$AO$87:$BB$87,0))/INDEX(고양시_재차인원!$K$4:$O$20,MATCH("경기도",고양시_재차인원!$K$4:$K$20,0),MATCH(DG$87,고양시_재차인원!$K$4:$O$4,0))</f>
        <v>6.2611147153802528E-6</v>
      </c>
      <c r="DH99" s="267">
        <f>INDEX($AO$86:$BB$100,MATCH($CW99,$L$86:$L$100,0),MATCH(DH$87,$AO$87:$BB$87,0))/INDEX(고양시_재차인원!$K$4:$O$20,MATCH("경기도",고양시_재차인원!$K$4:$K$20,0),MATCH(DH$87,고양시_재차인원!$K$4:$O$4,0))</f>
        <v>1.7405898908757103E-3</v>
      </c>
      <c r="DI99" s="267">
        <f>INDEX($AO$86:$BB$100,MATCH($CW99,$L$86:$L$100,0),MATCH(DI$87,$AO$87:$BB$87,0))/INDEX(고양시_재차인원!$D$4:$H$35,MATCH("고양시",고양시_재차인원!$B$4:$B$35,0),MATCH($DF$86,고양시_재차인원!$D$4:$H$4,0))</f>
        <v>4.1875202140039099E-2</v>
      </c>
      <c r="DJ99" s="267">
        <f>INDEX($BC$86:$BP$100,MATCH($CW99,$L$86:$L$100,0),MATCH(DJ$87,$BC$87:$BP$87,0))/INDEX(고양시_재차인원!$D$4:$H$35,MATCH("고양시",고양시_재차인원!$B$4:$B$35,0),MATCH($DJ$86,고양시_재차인원!$D$4:$H$4,0))</f>
        <v>9.7959085596117305E-4</v>
      </c>
      <c r="DK99" s="267">
        <f>INDEX($BC$86:$BP$100,MATCH($CW99,$L$86:$L$100,0),MATCH(DK$87,$BC$87:$BP$87,0))/INDEX(고양시_재차인원!$K$4:$O$20,MATCH("경기도",고양시_재차인원!$K$4:$K$20,0),MATCH(DK$87,고양시_재차인원!$K$4:$O$4,0))</f>
        <v>9.839363093840065E-9</v>
      </c>
      <c r="DL99" s="267">
        <f>INDEX($BC$86:$BP$100,MATCH($CW99,$L$86:$L$100,0),MATCH(DL$87,$BC$87:$BP$87,0))/INDEX(고양시_재차인원!$K$4:$O$20,MATCH("경기도",고양시_재차인원!$K$4:$K$20,0),MATCH(DL$87,고양시_재차인원!$K$4:$O$4,0))</f>
        <v>2.7353429400875377E-6</v>
      </c>
      <c r="DM99" s="267">
        <f>INDEX($BC$86:$BP$100,MATCH($CW99,$L$86:$L$100,0),MATCH(DM$87,$BC$87:$BP$87,0))/INDEX(고양시_재차인원!$D$4:$H$35,MATCH("고양시",고양시_재차인원!$B$4:$B$35,0),MATCH($DJ$86,고양시_재차인원!$D$4:$H$4,0))</f>
        <v>6.2903771741499947E-5</v>
      </c>
      <c r="DN99" s="267">
        <f>INDEX($BQ$86:$CD$100,MATCH($CW99,$L$86:$L$100,0),MATCH(DN$87,$BQ$87:$CD$87,0))/INDEX(고양시_재차인원!$D$4:$H$35,MATCH("고양시",고양시_재차인원!$B$4:$B$35,0),MATCH($DN$86,고양시_재차인원!$D$4:$H$4,0))</f>
        <v>3.9943810564060656E-3</v>
      </c>
      <c r="DO99" s="267">
        <f>INDEX($BQ$86:$CD$100,MATCH($CW99,$L$86:$L$100,0),MATCH(DO$87,$BQ$87:$CD$87,0))/INDEX(고양시_재차인원!$K$4:$O$20,MATCH("경기도",고양시_재차인원!$K$4:$K$20,0),MATCH(DO$87,고양시_재차인원!$K$4:$O$4,0))</f>
        <v>3.7170927243395912E-8</v>
      </c>
      <c r="DP99" s="267">
        <f>INDEX($BQ$86:$CD$100,MATCH($CW99,$L$86:$L$100,0),MATCH(DP$87,$BQ$87:$CD$87,0))/INDEX(고양시_재차인원!$K$4:$O$20,MATCH("경기도",고양시_재차인원!$K$4:$K$20,0),MATCH(DP$87,고양시_재차인원!$K$4:$O$4,0))</f>
        <v>1.0333517773664065E-5</v>
      </c>
      <c r="DQ99" s="267">
        <f>INDEX($BQ$86:$CD$100,MATCH($CW99,$L$86:$L$100,0),MATCH(DQ$87,$BQ$87:$CD$87,0))/INDEX(고양시_재차인원!$D$4:$H$35,MATCH("고양시",고양시_재차인원!$B$4:$B$35,0),MATCH($DN$86,고양시_재차인원!$D$4:$H$4,0))</f>
        <v>2.5649650840625817E-4</v>
      </c>
      <c r="DR99" s="270">
        <f t="shared" si="71"/>
        <v>12.960727998916237</v>
      </c>
      <c r="DS99" s="270">
        <f t="shared" si="64"/>
        <v>1.3052899080288283E-4</v>
      </c>
      <c r="DT99" s="270">
        <f t="shared" si="65"/>
        <v>3.6287059443201417E-2</v>
      </c>
      <c r="DU99" s="270">
        <f t="shared" si="66"/>
        <v>0.83226448132526132</v>
      </c>
      <c r="DW99" s="278" t="s">
        <v>171</v>
      </c>
      <c r="DX99" s="278" t="s">
        <v>171</v>
      </c>
      <c r="DY99" s="281">
        <f t="shared" si="72"/>
        <v>13.792992480241498</v>
      </c>
      <c r="DZ99" s="281">
        <f t="shared" si="73"/>
        <v>3.6417588434004299E-2</v>
      </c>
      <c r="EB99" s="278" t="s">
        <v>26</v>
      </c>
      <c r="EC99" s="278" t="s">
        <v>26</v>
      </c>
      <c r="ED99" s="281">
        <f t="shared" si="81"/>
        <v>5934.2587307381073</v>
      </c>
      <c r="EE99" s="281">
        <f t="shared" si="80"/>
        <v>15.668201982020749</v>
      </c>
      <c r="EK99" s="420" t="s">
        <v>47</v>
      </c>
      <c r="EL99" s="420" t="s">
        <v>47</v>
      </c>
      <c r="EM99" s="420" t="s">
        <v>572</v>
      </c>
      <c r="EN99" s="420">
        <v>2252.9902000000002</v>
      </c>
      <c r="EO99" s="420">
        <v>0.23602173772802626</v>
      </c>
      <c r="EP99" s="421">
        <v>849012</v>
      </c>
      <c r="EQ99" s="422">
        <f t="shared" si="75"/>
        <v>59.345318133307785</v>
      </c>
      <c r="ER99" s="422">
        <f t="shared" si="76"/>
        <v>0.15668923001007931</v>
      </c>
      <c r="ES99">
        <v>0</v>
      </c>
      <c r="EU99" s="306" t="s">
        <v>47</v>
      </c>
      <c r="EV99" s="306" t="s">
        <v>47</v>
      </c>
      <c r="EW99" s="306" t="s">
        <v>572</v>
      </c>
      <c r="EX99" s="306">
        <v>2252.9902000000002</v>
      </c>
      <c r="EY99" s="306">
        <v>0.23602173772802626</v>
      </c>
      <c r="EZ99" s="307">
        <v>849012</v>
      </c>
      <c r="FA99" s="308">
        <f t="shared" si="77"/>
        <v>59.345318133307785</v>
      </c>
      <c r="FB99" s="308">
        <f t="shared" si="68"/>
        <v>0.15668923001007931</v>
      </c>
      <c r="FD99" s="101"/>
      <c r="FE99" s="101"/>
      <c r="FF99" s="101"/>
      <c r="FG99" s="101"/>
      <c r="FH99" s="101"/>
      <c r="FI99" s="374"/>
      <c r="FJ99" s="404"/>
      <c r="FK99" s="404"/>
    </row>
    <row r="100" spans="1:167">
      <c r="A100" s="205" t="s">
        <v>26</v>
      </c>
      <c r="B100" s="205" t="s">
        <v>26</v>
      </c>
      <c r="C100" s="201">
        <f>$K41*KTDB_TripDistribution_2035!T$12</f>
        <v>1867.9461083280669</v>
      </c>
      <c r="D100" s="201">
        <f>$K41*KTDB_TripDistribution_2035!U$12</f>
        <v>13518.708133564687</v>
      </c>
      <c r="E100" s="201">
        <f>$K41*KTDB_TripDistribution_2035!V$12</f>
        <v>775.53482401006659</v>
      </c>
      <c r="F100" s="201">
        <f>$K41*KTDB_TripDistribution_2035!W$12</f>
        <v>1.2187556165689839</v>
      </c>
      <c r="G100" s="201">
        <f>$K41*KTDB_TripDistribution_2035!X$12</f>
        <v>4.6041878848161755</v>
      </c>
      <c r="H100" s="201">
        <f>$K41*KTDB_TripDistribution_2035!Y$12</f>
        <v>16168.012009404207</v>
      </c>
      <c r="I100" t="b">
        <f>H100=$L$41</f>
        <v>1</v>
      </c>
      <c r="J100" s="230">
        <f>CR100</f>
        <v>16168.012009404205</v>
      </c>
      <c r="K100" s="206" t="s">
        <v>26</v>
      </c>
      <c r="L100" s="206" t="s">
        <v>26</v>
      </c>
      <c r="M100" s="206">
        <f>INDEX($A$87:$H$100,MATCH($L100,$B$87:$B$100,0),MATCH($M$86,$A$87:$H$87,0))*고양시_Modal_split!C$3 * 0.01</f>
        <v>5.2302491033185872</v>
      </c>
      <c r="N100" s="206">
        <f>INDEX($A$87:$H$100,MATCH($L100,$B$87:$B$100,0),MATCH($M$86,$A$87:$H$87,0))*고양시_Modal_split!D$3 * 0.01</f>
        <v>878.4950547466899</v>
      </c>
      <c r="O100" s="206">
        <f>INDEX($A$87:$H$100,MATCH($L100,$B$87:$B$100,0),MATCH($M$86,$A$87:$H$87,0))*고양시_Modal_split!E$3 * 0.01</f>
        <v>106.286133563867</v>
      </c>
      <c r="P100" s="206">
        <f>INDEX($A$87:$H$100,MATCH($L100,$B$87:$B$100,0),MATCH($M$86,$A$87:$H$87,0))*고양시_Modal_split!F$3 * 0.01</f>
        <v>171.29065813368373</v>
      </c>
      <c r="Q100" s="206">
        <f>INDEX($A$87:$H$100,MATCH($L100,$B$87:$B$100,0),MATCH($M$86,$A$87:$H$87,0))*고양시_Modal_split!G$3 * 0.01</f>
        <v>17.185104196618212</v>
      </c>
      <c r="R100" s="206">
        <f>INDEX($A$87:$H$100,MATCH($L100,$B$87:$B$100,0),MATCH($M$86,$A$87:$H$87,0))*고양시_Modal_split!H$3 * 0.01</f>
        <v>0.18679461083280668</v>
      </c>
      <c r="S100" s="206">
        <f>INDEX($A$87:$H$100,MATCH($L100,$B$87:$B$100,0),MATCH($M$86,$A$87:$H$87,0))*고양시_Modal_split!I$3 * 0.01</f>
        <v>51.928901811520255</v>
      </c>
      <c r="T100" s="206">
        <f>INDEX($A$87:$H$100,MATCH($L100,$B$87:$B$100,0),MATCH($M$86,$A$87:$H$87,0))*고양시_Modal_split!J$3 * 0.01</f>
        <v>568.60279537506358</v>
      </c>
      <c r="U100" s="206">
        <f>INDEX($A$87:$H$100,MATCH($L100,$B$87:$B$100,0),MATCH($M$86,$A$87:$H$87,0))*고양시_Modal_split!K$3 * 0.01</f>
        <v>2.8019191624921</v>
      </c>
      <c r="V100" s="206">
        <f>INDEX($A$87:$H$100,MATCH($L100,$B$87:$B$100,0),MATCH($M$86,$A$87:$H$87,0))*고양시_Modal_split!L$3 * 0.01</f>
        <v>56.411972471507625</v>
      </c>
      <c r="W100" s="206">
        <f>INDEX($A$87:$H$100,MATCH($L100,$B$87:$B$100,0),MATCH($M$86,$A$87:$H$87,0))*고양시_Modal_split!M$3 * 0.01</f>
        <v>4.2962760491545531</v>
      </c>
      <c r="X100" s="206">
        <f>INDEX($A$87:$H$100,MATCH($L100,$B$87:$B$100,0),MATCH($M$86,$A$87:$H$87,0))*고양시_Modal_split!N$3 * 0.01</f>
        <v>1.8679461083280671</v>
      </c>
      <c r="Y100" s="206">
        <f>INDEX($A$87:$H$100,MATCH($L100,$B$87:$B$100,0),MATCH($M$86,$A$87:$H$87,0))*고양시_Modal_split!O$3 * 0.01</f>
        <v>3.3623029949905203</v>
      </c>
      <c r="Z100" s="209">
        <f>INDEX($A$87:$H$100,MATCH($L100,$B$87:$B$100,0),MATCH($M$86,$A$87:$H$87,0))*고양시_Modal_split!P$3 * 0.01</f>
        <v>1867.9461083280669</v>
      </c>
      <c r="AA100" s="207">
        <f>INDEX($A$87:$H$100,MATCH($L100,$B$87:$B$100,0),MATCH($AA$86,$A$87:$H$87,0))*고양시_Modal_split!C$3 * 0.01</f>
        <v>37.85238277398112</v>
      </c>
      <c r="AB100" s="207">
        <f>INDEX($A$87:$H$100,MATCH($L100,$B$87:$B$100,0),MATCH($AA$86,$A$87:$H$87,0))*고양시_Modal_split!D$3 * 0.01</f>
        <v>6357.8484352154728</v>
      </c>
      <c r="AC100" s="207">
        <f>INDEX($A$87:$H$100,MATCH($L100,$B$87:$B$100,0),MATCH($AA$86,$A$87:$H$87,0))*고양시_Modal_split!E$3 * 0.01</f>
        <v>769.21449279983062</v>
      </c>
      <c r="AD100" s="207">
        <f>INDEX($A$87:$H$100,MATCH($L100,$B$87:$B$100,0),MATCH($AA$86,$A$87:$H$87,0))*고양시_Modal_split!F$3 * 0.01</f>
        <v>1239.6655358478818</v>
      </c>
      <c r="AE100" s="207">
        <f>INDEX($A$87:$H$100,MATCH($L100,$B$87:$B$100,0),MATCH($AA$86,$A$87:$H$87,0))*고양시_Modal_split!G$3 * 0.01</f>
        <v>124.37211482879512</v>
      </c>
      <c r="AF100" s="207">
        <f>INDEX($A$87:$H$100,MATCH($L100,$B$87:$B$100,0),MATCH($AA$86,$A$87:$H$87,0))*고양시_Modal_split!H$3 * 0.01</f>
        <v>1.3518708133564687</v>
      </c>
      <c r="AG100" s="207">
        <f>INDEX($A$87:$H$100,MATCH($L100,$B$87:$B$100,0),MATCH($AA$86,$A$87:$H$87,0))*고양시_Modal_split!I$3 * 0.01</f>
        <v>375.82008611309828</v>
      </c>
      <c r="AH100" s="207">
        <f>INDEX($A$87:$H$100,MATCH($L100,$B$87:$B$100,0),MATCH($AA$86,$A$87:$H$87,0))*고양시_Modal_split!J$3 * 0.01</f>
        <v>4115.0947558570906</v>
      </c>
      <c r="AI100" s="207">
        <f>INDEX($A$87:$H$100,MATCH($L100,$B$87:$B$100,0),MATCH($AA$86,$A$87:$H$87,0))*고양시_Modal_split!K$3 * 0.01</f>
        <v>20.27806220034703</v>
      </c>
      <c r="AJ100" s="207">
        <f>INDEX($A$87:$H$100,MATCH($L100,$B$87:$B$100,0),MATCH($AA$86,$A$87:$H$87,0))*고양시_Modal_split!L$3 * 0.01</f>
        <v>408.26498563365357</v>
      </c>
      <c r="AK100" s="207">
        <f>INDEX($A$87:$H$100,MATCH($L100,$B$87:$B$100,0),MATCH($AA$86,$A$87:$H$87,0))*고양시_Modal_split!M$3 * 0.01</f>
        <v>31.09302870719878</v>
      </c>
      <c r="AL100" s="207">
        <f>INDEX($A$87:$H$100,MATCH($L100,$B$87:$B$100,0),MATCH($AA$86,$A$87:$H$87,0))*고양시_Modal_split!N$3 * 0.01</f>
        <v>13.518708133564687</v>
      </c>
      <c r="AM100" s="207">
        <f>INDEX($A$87:$H$100,MATCH($L100,$B$87:$B$100,0),MATCH($AA$86,$A$87:$H$87,0))*고양시_Modal_split!O$3 * 0.01</f>
        <v>24.333674640416433</v>
      </c>
      <c r="AN100" s="207">
        <f>INDEX($A$87:$H$100,MATCH($L100,$B$87:$B$100,0),MATCH($AA$86,$A$87:$H$87,0))*고양시_Modal_split!P$3 * 0.01</f>
        <v>13518.708133564687</v>
      </c>
      <c r="AO100" s="303">
        <f>INDEX($A$87:$H$100,MATCH($L100,$B$87:$B$100,0),MATCH($AO$86,$A$87:$H$87,0))*고양시_Modal_split!C$3 * 0.01</f>
        <v>2.1714975072281861</v>
      </c>
      <c r="AP100" s="303">
        <f>INDEX($A$87:$H$100,MATCH($L100,$B$87:$B$100,0),MATCH($AO$86,$A$87:$H$87,0))*고양시_Modal_split!D$3 * 0.01</f>
        <v>364.73402773193436</v>
      </c>
      <c r="AQ100" s="303">
        <f>INDEX($A$87:$H$100,MATCH($L100,$B$87:$B$100,0),MATCH($AO$86,$A$87:$H$87,0))*고양시_Modal_split!E$3 * 0.01</f>
        <v>44.127931486172784</v>
      </c>
      <c r="AR100" s="303">
        <f>INDEX($A$87:$H$100,MATCH($L100,$B$87:$B$100,0),MATCH($AO$86,$A$87:$H$87,0))*고양시_Modal_split!F$3 * 0.01</f>
        <v>71.116543361723103</v>
      </c>
      <c r="AS100" s="303">
        <f>INDEX($A$87:$H$100,MATCH($L100,$B$87:$B$100,0),MATCH($AO$86,$A$87:$H$87,0))*고양시_Modal_split!G$3 * 0.01</f>
        <v>7.1349203808926118</v>
      </c>
      <c r="AT100" s="303">
        <f>INDEX($A$87:$H$100,MATCH($L100,$B$87:$B$100,0),MATCH($AO$86,$A$87:$H$87,0))*고양시_Modal_split!H$3 * 0.01</f>
        <v>7.7553482401006665E-2</v>
      </c>
      <c r="AU100" s="303">
        <f>INDEX($A$87:$H$100,MATCH($L100,$B$87:$B$100,0),MATCH($AO$86,$A$87:$H$87,0))*고양시_Modal_split!I$3 * 0.01</f>
        <v>21.559868107479851</v>
      </c>
      <c r="AV100" s="303">
        <f>INDEX($A$87:$H$100,MATCH($L100,$B$87:$B$100,0),MATCH($AO$86,$A$87:$H$87,0))*고양시_Modal_split!J$3 * 0.01</f>
        <v>236.07280042866427</v>
      </c>
      <c r="AW100" s="303">
        <f>INDEX($A$87:$H$100,MATCH($L100,$B$87:$B$100,0),MATCH($AO$86,$A$87:$H$87,0))*고양시_Modal_split!K$3 * 0.01</f>
        <v>1.1633022360151</v>
      </c>
      <c r="AX100" s="303">
        <f>INDEX($A$87:$H$100,MATCH($L100,$B$87:$B$100,0),MATCH($AO$86,$A$87:$H$87,0))*고양시_Modal_split!L$3 * 0.01</f>
        <v>23.421151685104011</v>
      </c>
      <c r="AY100" s="303">
        <f>INDEX($A$87:$H$100,MATCH($L100,$B$87:$B$100,0),MATCH($AO$86,$A$87:$H$87,0))*고양시_Modal_split!M$3 * 0.01</f>
        <v>1.783730095223153</v>
      </c>
      <c r="AZ100" s="303">
        <f>INDEX($A$87:$H$100,MATCH($L100,$B$87:$B$100,0),MATCH($AO$86,$A$87:$H$87,0))*고양시_Modal_split!N$3 * 0.01</f>
        <v>0.77553482401006668</v>
      </c>
      <c r="BA100" s="207">
        <f>INDEX($A$87:$H$100,MATCH($L100,$B$87:$B$100,0),MATCH($AO$86,$A$87:$H$87,0))*고양시_Modal_split!O$3 * 0.01</f>
        <v>1.3959626832181198</v>
      </c>
      <c r="BB100" s="207">
        <f>INDEX($A$87:$H$100,MATCH($L100,$B$87:$B$100,0),MATCH($AO$86,$A$87:$H$87,0))*고양시_Modal_split!P$3 * 0.01</f>
        <v>775.53482401006659</v>
      </c>
      <c r="BC100" s="207">
        <f>INDEX($A$87:$H$100,MATCH($L100,$B$87:$B$100,0),MATCH($BC$86,$A$87:$H$87,0))*고양시_Modal_split!C$3 * 0.01</f>
        <v>3.4125157263931545E-3</v>
      </c>
      <c r="BD100" s="207">
        <f>INDEX($A$87:$H$100,MATCH($L100,$B$87:$B$100,0),MATCH($BC$86,$A$87:$H$87,0))*고양시_Modal_split!D$3 * 0.01</f>
        <v>0.57318076647239313</v>
      </c>
      <c r="BE100" s="207">
        <f>INDEX($A$87:$H$100,MATCH($L100,$B$87:$B$100,0),MATCH($BC$86,$A$87:$H$87,0))*고양시_Modal_split!E$3 * 0.01</f>
        <v>6.9347194582775176E-2</v>
      </c>
      <c r="BF100" s="207">
        <f>INDEX($A$87:$H$100,MATCH($L100,$B$87:$B$100,0),MATCH($BC$86,$A$87:$H$87,0))*고양시_Modal_split!F$3 * 0.01</f>
        <v>0.11175989003937582</v>
      </c>
      <c r="BG100" s="207">
        <f>INDEX($A$87:$H$100,MATCH($L100,$B$87:$B$100,0),MATCH($BC$86,$A$87:$H$87,0))*고양시_Modal_split!G$3 * 0.01</f>
        <v>1.1212551672434653E-2</v>
      </c>
      <c r="BH100" s="207">
        <f>INDEX($A$87:$H$100,MATCH($L100,$B$87:$B$100,0),MATCH($BC$86,$A$87:$H$87,0))*고양시_Modal_split!H$3 * 0.01</f>
        <v>1.2187556165689839E-4</v>
      </c>
      <c r="BI100" s="207">
        <f>INDEX($A$87:$H$100,MATCH($L100,$B$87:$B$100,0),MATCH($BC$86,$A$87:$H$87,0))*고양시_Modal_split!I$3 * 0.01</f>
        <v>3.3881406140617749E-2</v>
      </c>
      <c r="BJ100" s="207">
        <f>INDEX($A$87:$H$100,MATCH($L100,$B$87:$B$100,0),MATCH($BC$86,$A$87:$H$87,0))*고양시_Modal_split!J$3 * 0.01</f>
        <v>0.37098920968359872</v>
      </c>
      <c r="BK100" s="207">
        <f>INDEX($A$87:$H$100,MATCH($L100,$B$87:$B$100,0),MATCH($BC$86,$A$87:$H$87,0))*고양시_Modal_split!K$3 * 0.01</f>
        <v>1.828133424853476E-3</v>
      </c>
      <c r="BL100" s="207">
        <f>INDEX($A$87:$H$100,MATCH($L100,$B$87:$B$100,0),MATCH($BC$86,$A$87:$H$87,0))*고양시_Modal_split!L$3 * 0.01</f>
        <v>3.6806419620383314E-2</v>
      </c>
      <c r="BM100" s="207">
        <f>INDEX($A$87:$H$100,MATCH($L100,$B$87:$B$100,0),MATCH($BC$86,$A$87:$H$87,0))*고양시_Modal_split!M$3 * 0.01</f>
        <v>2.8031379181086631E-3</v>
      </c>
      <c r="BN100" s="207">
        <f>INDEX($A$87:$H$100,MATCH($L100,$B$87:$B$100,0),MATCH($BC$86,$A$87:$H$87,0))*고양시_Modal_split!N$3 * 0.01</f>
        <v>1.218755616568984E-3</v>
      </c>
      <c r="BO100" s="207">
        <f>INDEX($A$87:$H$100,MATCH($L100,$B$87:$B$100,0),MATCH($BC$86,$A$87:$H$87,0))*고양시_Modal_split!O$3 * 0.01</f>
        <v>2.1937601098241709E-3</v>
      </c>
      <c r="BP100" s="207">
        <f>INDEX($A$87:$H$100,MATCH($L100,$B$87:$B$100,0),MATCH($BC$86,$A$87:$H$87,0))*고양시_Modal_split!P$3 * 0.01</f>
        <v>1.2187556165689839</v>
      </c>
      <c r="BQ100" s="207">
        <f>INDEX($A$87:$H$100,MATCH($L100,$B$87:$B$100,0),MATCH($BQ$86,$A$87:$H$87,0))*고양시_Modal_split!C$3 * 0.01</f>
        <v>1.289172607748529E-2</v>
      </c>
      <c r="BR100" s="207">
        <f>INDEX($A$87:$H$100,MATCH($L100,$B$87:$B$100,0),MATCH($BQ$86,$A$87:$H$87,0))*고양시_Modal_split!D$3 * 0.01</f>
        <v>2.1653495622290473</v>
      </c>
      <c r="BS100" s="207">
        <f>INDEX($A$87:$H$100,MATCH($L100,$B$87:$B$100,0),MATCH($BQ$86,$A$87:$H$87,0))*고양시_Modal_split!E$3 * 0.01</f>
        <v>0.26197829064604039</v>
      </c>
      <c r="BT100" s="207">
        <f>INDEX($A$87:$H$100,MATCH($L100,$B$87:$B$100,0),MATCH($BQ$86,$A$87:$H$87,0))*고양시_Modal_split!F$3 * 0.01</f>
        <v>0.42220402903764331</v>
      </c>
      <c r="BU100" s="207">
        <f>INDEX($A$87:$H$100,MATCH($L100,$B$87:$B$100,0),MATCH($BQ$86,$A$87:$H$87,0))*고양시_Modal_split!G$3 * 0.01</f>
        <v>4.2358528540308811E-2</v>
      </c>
      <c r="BV100" s="207">
        <f>INDEX($A$87:$H$100,MATCH($L100,$B$87:$B$100,0),MATCH($BQ$86,$A$87:$H$87,0))*고양시_Modal_split!H$3 * 0.01</f>
        <v>4.604187884816176E-4</v>
      </c>
      <c r="BW100" s="207">
        <f>INDEX($A$87:$H$100,MATCH($L100,$B$87:$B$100,0),MATCH($BQ$86,$A$87:$H$87,0))*고양시_Modal_split!I$3 * 0.01</f>
        <v>0.12799642319788967</v>
      </c>
      <c r="BX100" s="207">
        <f>INDEX($A$87:$H$100,MATCH($L100,$B$87:$B$100,0),MATCH($BQ$86,$A$87:$H$87,0))*고양시_Modal_split!J$3 * 0.01</f>
        <v>1.4015147921380438</v>
      </c>
      <c r="BY100" s="207">
        <f>INDEX($A$87:$H$100,MATCH($L100,$B$87:$B$100,0),MATCH($BQ$86,$A$87:$H$87,0))*고양시_Modal_split!K$3 * 0.01</f>
        <v>6.9062818272242633E-3</v>
      </c>
      <c r="BZ100" s="207">
        <f>INDEX($A$87:$H$100,MATCH($L100,$B$87:$B$100,0),MATCH($BQ$86,$A$87:$H$87,0))*고양시_Modal_split!L$3 * 0.01</f>
        <v>0.13904647412144852</v>
      </c>
      <c r="CA100" s="207">
        <f>INDEX($A$87:$H$100,MATCH($L100,$B$87:$B$100,0),MATCH($BQ$86,$A$87:$H$87,0))*고양시_Modal_split!M$3 * 0.01</f>
        <v>1.0589632135077203E-2</v>
      </c>
      <c r="CB100" s="207">
        <f>INDEX($A$87:$H$100,MATCH($L100,$B$87:$B$100,0),MATCH($BQ$86,$A$87:$H$87,0))*고양시_Modal_split!N$3 * 0.01</f>
        <v>4.6041878848161752E-3</v>
      </c>
      <c r="CC100" s="207">
        <f>INDEX($A$87:$H$100,MATCH($L100,$B$87:$B$100,0),MATCH($BQ$86,$A$87:$H$87,0))*고양시_Modal_split!O$3 * 0.01</f>
        <v>8.2875381926691156E-3</v>
      </c>
      <c r="CD100" s="207">
        <f>INDEX($A$87:$H$100,MATCH($L100,$B$87:$B$100,0),MATCH($BQ$86,$A$87:$H$87,0))*고양시_Modal_split!P$3 * 0.01</f>
        <v>4.6041878848161755</v>
      </c>
      <c r="CE100" s="304">
        <f t="shared" si="69"/>
        <v>45.270433626331773</v>
      </c>
      <c r="CF100" s="304">
        <f t="shared" si="51"/>
        <v>7603.8160480227989</v>
      </c>
      <c r="CG100" s="304">
        <f t="shared" si="52"/>
        <v>919.95988333509922</v>
      </c>
      <c r="CH100" s="304">
        <f t="shared" si="53"/>
        <v>1482.6067012623657</v>
      </c>
      <c r="CI100" s="304">
        <f t="shared" si="54"/>
        <v>148.7457104865187</v>
      </c>
      <c r="CJ100" s="304">
        <f t="shared" si="55"/>
        <v>1.6168012009404207</v>
      </c>
      <c r="CK100" s="304">
        <f t="shared" si="56"/>
        <v>449.47073386143688</v>
      </c>
      <c r="CL100" s="304">
        <f t="shared" si="57"/>
        <v>4921.5428556626402</v>
      </c>
      <c r="CM100" s="304">
        <f t="shared" si="58"/>
        <v>24.252018014106309</v>
      </c>
      <c r="CN100" s="304">
        <f t="shared" si="59"/>
        <v>488.27396268400707</v>
      </c>
      <c r="CO100" s="304">
        <f t="shared" si="60"/>
        <v>37.186427621629676</v>
      </c>
      <c r="CP100" s="304">
        <f t="shared" si="61"/>
        <v>16.168012009404205</v>
      </c>
      <c r="CQ100" s="304">
        <f t="shared" si="62"/>
        <v>29.102421616927568</v>
      </c>
      <c r="CR100" s="304">
        <f t="shared" si="63"/>
        <v>16168.012009404205</v>
      </c>
      <c r="CS100" s="305">
        <f t="shared" si="70"/>
        <v>0</v>
      </c>
      <c r="CV100" s="267" t="s">
        <v>26</v>
      </c>
      <c r="CW100" s="267" t="s">
        <v>26</v>
      </c>
      <c r="CX100" s="267">
        <f>INDEX($M$86:$Z$100,MATCH($CW100,$L$86:$L$100,0),MATCH(CX$87,$M$87:$Z$87,0))/INDEX(고양시_재차인원!$D$4:$H$35,MATCH("고양시",고양시_재차인원!$B$4:$B$35,0),MATCH($CX$86,고양시_재차인원!$D$4:$H$4,0))</f>
        <v>784.37058459525872</v>
      </c>
      <c r="CY100" s="267">
        <f>INDEX($M$86:$Z$100,MATCH($CW100,$L$86:$L$100,0),MATCH(CY$87,$M$87:$Z$87,0))/INDEX(고양시_재차인원!$K$4:$O$20,MATCH("경기도",고양시_재차인원!$K$4:$K$20,0),MATCH($CY$87,고양시_재차인원!$K$4:$O$4,0))</f>
        <v>6.4881768264260743E-3</v>
      </c>
      <c r="CZ100" s="267">
        <f>INDEX($M$86:$Z$100,MATCH($CW100,$L$86:$L$100,0),MATCH(CZ$87,$M$87:$Z$87,0))/INDEX(고양시_재차인원!$K$4:$O$20,MATCH("경기도",고양시_재차인원!$K$4:$K$20,0),MATCH($CZ$87,고양시_재차인원!$K$4:$O$4,0))</f>
        <v>1.8037131577464487</v>
      </c>
      <c r="DA100" s="267">
        <f>INDEX($M$86:$Z$100,MATCH($CW100,$L$86:$L$100,0),MATCH(DA$87,$M$87:$Z$87,0))/INDEX(고양시_재차인원!$D$4:$H$35,MATCH("고양시",고양시_재차인원!$B$4:$B$35,0),MATCH($CX$86,고양시_재차인원!$D$4:$H$4,0))</f>
        <v>50.367832563846086</v>
      </c>
      <c r="DB100" s="267">
        <f>INDEX($AA$86:$AN$100,MATCH($CW100,$L$86:$L$100,0),MATCH(DB$87,$AA$87:$AN$87,0))/INDEX(고양시_재차인원!$D$4:$H$35,MATCH("고양시",고양시_재차인원!$B$4:$B$35,0),MATCH($DB$86,고양시_재차인원!$D$4:$H$4,0))</f>
        <v>4509.1123654010444</v>
      </c>
      <c r="DC100" s="267">
        <f>INDEX($AA$86:$AN$100,MATCH($CW100,$L$86:$L$100,0),MATCH(DC$87,$AA$87:$AN$87,0))/INDEX(고양시_재차인원!$K$4:$O$20,MATCH("경기도",고양시_재차인원!$K$4:$K$20,0),MATCH(DC$87,고양시_재차인원!$K$4:$O$4,0))</f>
        <v>4.6956263055104856E-2</v>
      </c>
      <c r="DD100" s="267">
        <f>INDEX($AA$86:$AN$100,MATCH($CW100,$L$86:$L$100,0),MATCH(DD$87,$AA$87:$AN$87,0))/INDEX(고양시_재차인원!$K$4:$O$20,MATCH("경기도",고양시_재차인원!$K$4:$K$20,0),MATCH(DD$87,고양시_재차인원!$K$4:$O$4,0))</f>
        <v>13.053841129319149</v>
      </c>
      <c r="DE100" s="267">
        <f>INDEX($AA$86:$AN$100,MATCH($CW100,$L$86:$L$100,0),MATCH(DE$87,$AA$87:$AN$87,0))/INDEX(고양시_재차인원!$D$4:$H$35,MATCH("고양시",고양시_재차인원!$B$4:$B$35,0),MATCH($DB$86,고양시_재차인원!$D$4:$H$4,0))</f>
        <v>289.54963520117275</v>
      </c>
      <c r="DF100" s="267">
        <f>INDEX($AO$86:$BB$100,MATCH($CW100,$L$86:$L$100,0),MATCH(DF$87,$AO$87:$BB$87,0))/INDEX(고양시_재차인원!$D$4:$H$35,MATCH("고양시",고양시_재차인원!$B$4:$B$35,0),MATCH($DF$86,고양시_재차인원!$D$4:$H$4,0))</f>
        <v>280.5646367168726</v>
      </c>
      <c r="DG100" s="267">
        <f>INDEX($AO$86:$BB$100,MATCH($CW100,$L$86:$L$100,0),MATCH(DG$87,$AO$87:$BB$87,0))/INDEX(고양시_재차인원!$K$4:$O$20,MATCH("경기도",고양시_재차인원!$K$4:$K$20,0),MATCH(DG$87,고양시_재차인원!$K$4:$O$4,0))</f>
        <v>2.6937645849602872E-3</v>
      </c>
      <c r="DH100" s="267">
        <f>INDEX($AO$86:$BB$100,MATCH($CW100,$L$86:$L$100,0),MATCH(DH$87,$AO$87:$BB$87,0))/INDEX(고양시_재차인원!$K$4:$O$20,MATCH("경기도",고양시_재차인원!$K$4:$K$20,0),MATCH(DH$87,고양시_재차인원!$K$4:$O$4,0))</f>
        <v>0.74886655461895979</v>
      </c>
      <c r="DI100" s="267">
        <f>INDEX($AO$86:$BB$100,MATCH($CW100,$L$86:$L$100,0),MATCH(DI$87,$AO$87:$BB$87,0))/INDEX(고양시_재차인원!$D$4:$H$35,MATCH("고양시",고양시_재차인원!$B$4:$B$35,0),MATCH($DF$86,고양시_재차인원!$D$4:$H$4,0))</f>
        <v>18.016270527003083</v>
      </c>
      <c r="DJ100" s="267">
        <f>INDEX($BC$86:$BP$100,MATCH($CW100,$L$86:$L$100,0),MATCH(DJ$87,$BC$87:$BP$87,0))/INDEX(고양시_재차인원!$D$4:$H$35,MATCH("고양시",고양시_재차인원!$B$4:$B$35,0),MATCH($DJ$86,고양시_재차인원!$D$4:$H$4,0))</f>
        <v>0.42145644593558318</v>
      </c>
      <c r="DK100" s="267">
        <f>INDEX($BC$86:$BP$100,MATCH($CW100,$L$86:$L$100,0),MATCH(DK$87,$BC$87:$BP$87,0))/INDEX(고양시_재차인원!$K$4:$O$20,MATCH("경기도",고양시_재차인원!$K$4:$K$20,0),MATCH(DK$87,고양시_재차인원!$K$4:$O$4,0))</f>
        <v>4.2332602173288781E-6</v>
      </c>
      <c r="DL100" s="267">
        <f>INDEX($BC$86:$BP$100,MATCH($CW100,$L$86:$L$100,0),MATCH(DL$87,$BC$87:$BP$87,0))/INDEX(고양시_재차인원!$K$4:$O$20,MATCH("경기도",고양시_재차인원!$K$4:$K$20,0),MATCH(DL$87,고양시_재차인원!$K$4:$O$4,0))</f>
        <v>1.176846340417428E-3</v>
      </c>
      <c r="DM100" s="267">
        <f>INDEX($BC$86:$BP$100,MATCH($CW100,$L$86:$L$100,0),MATCH(DM$87,$BC$87:$BP$87,0))/INDEX(고양시_재차인원!$D$4:$H$35,MATCH("고양시",고양시_재차인원!$B$4:$B$35,0),MATCH($DJ$86,고양시_재차인원!$D$4:$H$4,0))</f>
        <v>2.706354383851714E-2</v>
      </c>
      <c r="DN100" s="267">
        <f>INDEX($BQ$86:$CD$100,MATCH($CW100,$L$86:$L$100,0),MATCH(DN$87,$BQ$87:$CD$87,0))/INDEX(고양시_재차인원!$D$4:$H$35,MATCH("고양시",고양시_재차인원!$B$4:$B$35,0),MATCH($DN$86,고양시_재차인원!$D$4:$H$4,0))</f>
        <v>1.7185313985944819</v>
      </c>
      <c r="DO100" s="267">
        <f>INDEX($BQ$86:$CD$100,MATCH($CW100,$L$86:$L$100,0),MATCH(DO$87,$BQ$87:$CD$87,0))/INDEX(고양시_재차인원!$K$4:$O$20,MATCH("경기도",고양시_재차인원!$K$4:$K$20,0),MATCH(DO$87,고양시_재차인원!$K$4:$O$4,0))</f>
        <v>1.5992316376575812E-5</v>
      </c>
      <c r="DP100" s="267">
        <f>INDEX($BQ$86:$CD$100,MATCH($CW100,$L$86:$L$100,0),MATCH(DP$87,$BQ$87:$CD$87,0))/INDEX(고양시_재차인원!$K$4:$O$20,MATCH("경기도",고양시_재차인원!$K$4:$K$20,0),MATCH(DP$87,고양시_재차인원!$K$4:$O$4,0))</f>
        <v>4.4458639526880747E-3</v>
      </c>
      <c r="DQ100" s="267">
        <f>INDEX($BQ$86:$CD$100,MATCH($CW100,$L$86:$L$100,0),MATCH(DQ$87,$BQ$87:$CD$87,0))/INDEX(고양시_재차인원!$D$4:$H$35,MATCH("고양시",고양시_재차인원!$B$4:$B$35,0),MATCH($DN$86,고양시_재차인원!$D$4:$H$4,0))</f>
        <v>0.11035434454083216</v>
      </c>
      <c r="DR100" s="270">
        <f t="shared" si="71"/>
        <v>5576.1875745577063</v>
      </c>
      <c r="DS100" s="270">
        <f t="shared" si="64"/>
        <v>5.6158430043085121E-2</v>
      </c>
      <c r="DT100" s="270">
        <f t="shared" si="65"/>
        <v>15.612043551977663</v>
      </c>
      <c r="DU100" s="270">
        <f t="shared" si="66"/>
        <v>358.07115618040126</v>
      </c>
      <c r="DW100" s="278" t="s">
        <v>26</v>
      </c>
      <c r="DX100" s="278" t="s">
        <v>26</v>
      </c>
      <c r="DY100" s="281">
        <f t="shared" si="72"/>
        <v>5934.2587307381073</v>
      </c>
      <c r="DZ100" s="281">
        <f t="shared" si="73"/>
        <v>15.668201982020749</v>
      </c>
      <c r="ED100" s="230" t="b">
        <f>SUM(ED88:ED98)=ED99</f>
        <v>1</v>
      </c>
      <c r="EE100" s="230" t="b">
        <f>SUM(EE88:EE98)=EE99</f>
        <v>1</v>
      </c>
      <c r="EK100" s="420" t="s">
        <v>169</v>
      </c>
      <c r="EL100" s="420" t="s">
        <v>169</v>
      </c>
      <c r="EM100" s="420" t="s">
        <v>575</v>
      </c>
      <c r="EN100" s="420">
        <v>5756.5210999999999</v>
      </c>
      <c r="EO100" s="420">
        <v>0.34334776653141269</v>
      </c>
      <c r="EP100" s="421">
        <v>849013</v>
      </c>
      <c r="EQ100" s="422">
        <f t="shared" si="75"/>
        <v>138.50801884706806</v>
      </c>
      <c r="ER100" s="422">
        <f t="shared" si="76"/>
        <v>0.36570222396681235</v>
      </c>
      <c r="ES100">
        <v>0</v>
      </c>
      <c r="EU100" s="306" t="s">
        <v>169</v>
      </c>
      <c r="EV100" s="306" t="s">
        <v>169</v>
      </c>
      <c r="EW100" s="306" t="s">
        <v>575</v>
      </c>
      <c r="EX100" s="306">
        <v>5756.5210999999999</v>
      </c>
      <c r="EY100" s="306">
        <v>0.34334776653141269</v>
      </c>
      <c r="EZ100" s="307">
        <v>849013</v>
      </c>
      <c r="FA100" s="308">
        <f t="shared" si="77"/>
        <v>138.50801884706806</v>
      </c>
      <c r="FB100" s="308">
        <f t="shared" si="68"/>
        <v>0.36570222396681235</v>
      </c>
      <c r="FD100" s="101"/>
      <c r="FE100" s="101"/>
      <c r="FF100" s="101"/>
      <c r="FG100" s="101"/>
      <c r="FH100" s="101"/>
      <c r="FI100" s="374"/>
      <c r="FJ100" s="404"/>
      <c r="FK100" s="404"/>
    </row>
    <row r="101" spans="1:167">
      <c r="C101" s="56">
        <f t="shared" ref="C101:H101" si="82">SUM(C88:C99)-C100</f>
        <v>0</v>
      </c>
      <c r="D101" s="56">
        <f t="shared" si="82"/>
        <v>0</v>
      </c>
      <c r="E101" s="56">
        <f t="shared" si="82"/>
        <v>0</v>
      </c>
      <c r="F101" s="56">
        <f t="shared" si="82"/>
        <v>0</v>
      </c>
      <c r="G101" s="56">
        <f t="shared" si="82"/>
        <v>0</v>
      </c>
      <c r="H101" s="56">
        <f t="shared" si="82"/>
        <v>0</v>
      </c>
      <c r="I101" s="56"/>
      <c r="J101" s="56"/>
      <c r="K101" s="56"/>
      <c r="L101" s="56"/>
      <c r="M101" s="56"/>
      <c r="P101" s="56"/>
      <c r="Q101" s="56"/>
      <c r="R101" s="56"/>
      <c r="S101" s="56"/>
      <c r="T101" s="301"/>
      <c r="U101" s="301"/>
      <c r="V101" s="302"/>
      <c r="W101" s="56"/>
      <c r="X101" s="56"/>
      <c r="EK101" s="420" t="s">
        <v>169</v>
      </c>
      <c r="EL101" s="420" t="s">
        <v>169</v>
      </c>
      <c r="EM101" s="420" t="s">
        <v>576</v>
      </c>
      <c r="EN101" s="420">
        <v>5584.9350000000004</v>
      </c>
      <c r="EO101" s="420">
        <v>0.33311351164388425</v>
      </c>
      <c r="EP101" s="421">
        <v>849014</v>
      </c>
      <c r="EQ101" s="422">
        <f t="shared" si="75"/>
        <v>134.37947482545491</v>
      </c>
      <c r="ER101" s="422">
        <f t="shared" si="76"/>
        <v>0.35480164403637626</v>
      </c>
      <c r="ES101">
        <v>0</v>
      </c>
      <c r="EU101" s="306" t="s">
        <v>169</v>
      </c>
      <c r="EV101" s="306" t="s">
        <v>169</v>
      </c>
      <c r="EW101" s="306" t="s">
        <v>576</v>
      </c>
      <c r="EX101" s="306">
        <v>5584.9350000000004</v>
      </c>
      <c r="EY101" s="306">
        <v>0.33311351164388425</v>
      </c>
      <c r="EZ101" s="307">
        <v>849014</v>
      </c>
      <c r="FA101" s="308">
        <f t="shared" si="77"/>
        <v>134.37947482545491</v>
      </c>
      <c r="FB101" s="308">
        <f t="shared" si="68"/>
        <v>0.35480164403637626</v>
      </c>
      <c r="FD101" s="101"/>
      <c r="FE101" s="101"/>
      <c r="FF101" s="101"/>
      <c r="FG101" s="101"/>
      <c r="FH101" s="101"/>
      <c r="FI101" s="374"/>
      <c r="FJ101" s="404"/>
      <c r="FK101" s="404"/>
    </row>
    <row r="102" spans="1:167">
      <c r="C102" s="56"/>
      <c r="D102" s="56"/>
      <c r="E102" s="56"/>
      <c r="F102" s="56"/>
      <c r="G102" s="56"/>
      <c r="H102" s="56"/>
      <c r="I102" s="56"/>
      <c r="J102" s="56"/>
      <c r="K102" s="56"/>
      <c r="L102" s="56"/>
      <c r="M102" s="56"/>
      <c r="P102" s="56"/>
      <c r="Q102" s="56"/>
      <c r="R102" s="56"/>
      <c r="S102" s="56"/>
      <c r="T102" s="301"/>
      <c r="U102" s="301"/>
      <c r="V102" s="302"/>
      <c r="W102" s="56"/>
      <c r="X102" s="56"/>
      <c r="EK102" s="420" t="s">
        <v>169</v>
      </c>
      <c r="EL102" s="420" t="s">
        <v>169</v>
      </c>
      <c r="EM102" s="420" t="s">
        <v>382</v>
      </c>
      <c r="EN102" s="420">
        <v>5424.4053999999996</v>
      </c>
      <c r="EO102" s="420">
        <v>0.32353872182470311</v>
      </c>
      <c r="EP102" s="421">
        <v>849015</v>
      </c>
      <c r="EQ102" s="422">
        <f t="shared" si="75"/>
        <v>130.51696195074101</v>
      </c>
      <c r="ER102" s="422">
        <f t="shared" si="76"/>
        <v>0.34460346518621915</v>
      </c>
      <c r="ES102">
        <v>0</v>
      </c>
      <c r="EU102" s="306" t="s">
        <v>169</v>
      </c>
      <c r="EV102" s="306" t="s">
        <v>169</v>
      </c>
      <c r="EW102" s="306" t="s">
        <v>382</v>
      </c>
      <c r="EX102" s="306">
        <v>5424.4053999999996</v>
      </c>
      <c r="EY102" s="306">
        <v>0.32353872182470311</v>
      </c>
      <c r="EZ102" s="307">
        <v>849015</v>
      </c>
      <c r="FA102" s="308">
        <f t="shared" si="77"/>
        <v>130.51696195074101</v>
      </c>
      <c r="FB102" s="308">
        <f t="shared" si="68"/>
        <v>0.34460346518621915</v>
      </c>
      <c r="FD102" s="101"/>
      <c r="FE102" s="101"/>
      <c r="FF102" s="101"/>
      <c r="FG102" s="101"/>
      <c r="FH102" s="101"/>
      <c r="FI102" s="374"/>
      <c r="FJ102" s="404"/>
      <c r="FK102" s="404"/>
    </row>
    <row r="103" spans="1:167">
      <c r="C103" s="56"/>
      <c r="D103" s="56"/>
      <c r="E103" s="56"/>
      <c r="F103" s="56"/>
      <c r="G103" s="56"/>
      <c r="H103" s="56"/>
      <c r="I103" s="56"/>
      <c r="J103" s="56"/>
      <c r="K103" s="56"/>
      <c r="L103" s="56"/>
      <c r="M103" s="56"/>
      <c r="P103" s="56"/>
      <c r="Q103" s="56"/>
      <c r="R103" s="56"/>
      <c r="S103" s="56"/>
      <c r="T103" s="301"/>
      <c r="U103" s="301"/>
      <c r="V103" s="302"/>
      <c r="W103" s="56"/>
      <c r="X103" s="56"/>
      <c r="EK103" s="420" t="s">
        <v>170</v>
      </c>
      <c r="EL103" s="420" t="s">
        <v>170</v>
      </c>
      <c r="EM103" s="420" t="s">
        <v>577</v>
      </c>
      <c r="EN103" s="420">
        <v>28051.338899999999</v>
      </c>
      <c r="EO103" s="420">
        <v>1</v>
      </c>
      <c r="EP103" s="421">
        <v>849016</v>
      </c>
      <c r="EQ103" s="422">
        <f t="shared" si="75"/>
        <v>333.63891160673256</v>
      </c>
      <c r="ER103" s="422">
        <f t="shared" si="76"/>
        <v>0.88090561826003322</v>
      </c>
      <c r="ES103">
        <v>0</v>
      </c>
      <c r="EU103" s="306" t="s">
        <v>170</v>
      </c>
      <c r="EV103" s="306" t="s">
        <v>170</v>
      </c>
      <c r="EW103" s="306" t="s">
        <v>577</v>
      </c>
      <c r="EX103" s="306">
        <v>28051.338899999999</v>
      </c>
      <c r="EY103" s="306">
        <v>1</v>
      </c>
      <c r="EZ103" s="307">
        <v>849016</v>
      </c>
      <c r="FA103" s="308">
        <f t="shared" si="77"/>
        <v>333.63891160673256</v>
      </c>
      <c r="FB103" s="308">
        <f t="shared" si="68"/>
        <v>0.88090561826003322</v>
      </c>
      <c r="FD103" s="101"/>
      <c r="FE103" s="101"/>
      <c r="FF103" s="101"/>
      <c r="FG103" s="101"/>
      <c r="FH103" s="101"/>
      <c r="FI103" s="374"/>
      <c r="FJ103" s="404"/>
      <c r="FK103" s="404"/>
    </row>
    <row r="104" spans="1:167">
      <c r="C104" s="56"/>
      <c r="D104" s="56"/>
      <c r="E104" s="56"/>
      <c r="F104" s="56"/>
      <c r="G104" s="56"/>
      <c r="H104" s="56"/>
      <c r="I104" s="56"/>
      <c r="J104" s="56"/>
      <c r="K104" s="56"/>
      <c r="L104" s="56"/>
      <c r="M104" s="56"/>
      <c r="P104" s="56"/>
      <c r="Q104" s="56"/>
      <c r="R104" s="56"/>
      <c r="S104" s="56"/>
      <c r="T104" s="301"/>
      <c r="U104" s="301"/>
      <c r="V104" s="302"/>
      <c r="W104" s="56"/>
      <c r="X104" s="56"/>
      <c r="EK104" s="420" t="s">
        <v>171</v>
      </c>
      <c r="EL104" s="420" t="s">
        <v>171</v>
      </c>
      <c r="EM104" s="420" t="s">
        <v>579</v>
      </c>
      <c r="EN104" s="420">
        <v>15650.840399999999</v>
      </c>
      <c r="EO104" s="420">
        <v>0.80490868986400721</v>
      </c>
      <c r="EP104" s="421">
        <v>849017</v>
      </c>
      <c r="EQ104" s="422">
        <f t="shared" si="75"/>
        <v>10.785689670637892</v>
      </c>
      <c r="ER104" s="422">
        <f t="shared" si="76"/>
        <v>2.8477417642680025E-2</v>
      </c>
      <c r="ES104">
        <v>0</v>
      </c>
      <c r="EU104" s="306" t="s">
        <v>171</v>
      </c>
      <c r="EV104" s="306" t="s">
        <v>171</v>
      </c>
      <c r="EW104" s="306" t="s">
        <v>579</v>
      </c>
      <c r="EX104" s="306">
        <v>15650.840399999999</v>
      </c>
      <c r="EY104" s="306">
        <v>0.80490868986400721</v>
      </c>
      <c r="EZ104" s="307">
        <v>849017</v>
      </c>
      <c r="FA104" s="308">
        <f t="shared" si="77"/>
        <v>10.785689670637892</v>
      </c>
      <c r="FB104" s="308">
        <f t="shared" si="68"/>
        <v>2.8477417642680025E-2</v>
      </c>
      <c r="FD104" s="101"/>
      <c r="FE104" s="101"/>
      <c r="FF104" s="101"/>
      <c r="FG104" s="101"/>
      <c r="FH104" s="101"/>
      <c r="FI104" s="374"/>
      <c r="FJ104" s="404"/>
      <c r="FK104" s="404"/>
    </row>
    <row r="105" spans="1:167">
      <c r="C105" s="56"/>
      <c r="D105" s="56"/>
      <c r="E105" s="56"/>
      <c r="F105" s="56"/>
      <c r="G105" s="56"/>
      <c r="H105" s="56"/>
      <c r="I105" s="56"/>
      <c r="J105" s="56"/>
      <c r="K105" s="56"/>
      <c r="L105" s="56"/>
      <c r="M105" s="56"/>
      <c r="P105" s="56"/>
      <c r="Q105" s="56"/>
      <c r="R105" s="56"/>
      <c r="S105" s="56"/>
      <c r="T105" s="301"/>
      <c r="U105" s="301"/>
      <c r="V105" s="302"/>
      <c r="W105" s="56"/>
      <c r="X105" s="56"/>
      <c r="EK105" s="420" t="s">
        <v>171</v>
      </c>
      <c r="EL105" s="420" t="s">
        <v>171</v>
      </c>
      <c r="EM105" s="420" t="s">
        <v>580</v>
      </c>
      <c r="EN105" s="420">
        <v>3793.4029</v>
      </c>
      <c r="EO105" s="420">
        <v>0.19509131013599282</v>
      </c>
      <c r="EP105" s="421">
        <v>849018</v>
      </c>
      <c r="EQ105" s="422">
        <f t="shared" si="75"/>
        <v>2.6142025239167239</v>
      </c>
      <c r="ER105" s="422">
        <f t="shared" si="76"/>
        <v>6.902269520955154E-3</v>
      </c>
      <c r="ES105">
        <v>0</v>
      </c>
      <c r="EU105" s="306" t="s">
        <v>171</v>
      </c>
      <c r="EV105" s="306" t="s">
        <v>171</v>
      </c>
      <c r="EW105" s="306" t="s">
        <v>580</v>
      </c>
      <c r="EX105" s="306">
        <v>3793.4029</v>
      </c>
      <c r="EY105" s="306">
        <v>0.19509131013599282</v>
      </c>
      <c r="EZ105" s="307">
        <v>849018</v>
      </c>
      <c r="FA105" s="308">
        <f t="shared" si="77"/>
        <v>2.6142025239167239</v>
      </c>
      <c r="FB105" s="308">
        <f t="shared" si="68"/>
        <v>6.902269520955154E-3</v>
      </c>
      <c r="FD105" s="101"/>
      <c r="FE105" s="101"/>
      <c r="FF105" s="101"/>
      <c r="FG105" s="101"/>
      <c r="FH105" s="101"/>
      <c r="FI105" s="374"/>
      <c r="FJ105" s="404"/>
      <c r="FK105" s="404"/>
    </row>
    <row r="106" spans="1:167">
      <c r="C106" s="56"/>
      <c r="D106" s="56"/>
      <c r="E106" s="56"/>
      <c r="F106" s="56"/>
      <c r="G106" s="56"/>
      <c r="H106" s="56"/>
      <c r="I106" s="56"/>
      <c r="J106" s="56"/>
      <c r="K106" s="56"/>
      <c r="L106" s="56"/>
      <c r="M106" s="56"/>
      <c r="P106" s="56"/>
      <c r="Q106" s="56"/>
      <c r="R106" s="56"/>
      <c r="S106" s="56"/>
      <c r="T106" s="301"/>
      <c r="U106" s="301"/>
      <c r="V106" s="302"/>
      <c r="W106" s="56"/>
      <c r="X106" s="56"/>
      <c r="EK106" s="420" t="s">
        <v>13</v>
      </c>
      <c r="EL106" s="420" t="s">
        <v>13</v>
      </c>
      <c r="EM106" s="420" t="s">
        <v>582</v>
      </c>
      <c r="EN106" s="420">
        <v>2617.3850000000002</v>
      </c>
      <c r="EO106" s="420">
        <v>0.44699524620375919</v>
      </c>
      <c r="EP106" s="421">
        <v>849019</v>
      </c>
      <c r="EQ106" s="422">
        <f t="shared" si="75"/>
        <v>46.964599958182411</v>
      </c>
      <c r="ER106" s="422">
        <f t="shared" si="76"/>
        <v>0.12400046434410851</v>
      </c>
      <c r="ES106">
        <v>0</v>
      </c>
      <c r="EU106" s="306" t="s">
        <v>13</v>
      </c>
      <c r="EV106" s="306" t="s">
        <v>13</v>
      </c>
      <c r="EW106" s="306" t="s">
        <v>582</v>
      </c>
      <c r="EX106" s="306">
        <v>2617.3850000000002</v>
      </c>
      <c r="EY106" s="306">
        <v>0.44699524620375919</v>
      </c>
      <c r="EZ106" s="307">
        <v>849019</v>
      </c>
      <c r="FA106" s="308">
        <f t="shared" si="77"/>
        <v>46.964599958182411</v>
      </c>
      <c r="FB106" s="308">
        <f t="shared" si="68"/>
        <v>0.12400046434410851</v>
      </c>
      <c r="FD106" s="101"/>
      <c r="FE106" s="101"/>
      <c r="FF106" s="101"/>
      <c r="FG106" s="101"/>
      <c r="FH106" s="101"/>
      <c r="FI106" s="374"/>
      <c r="FJ106" s="404"/>
      <c r="FK106" s="404"/>
    </row>
    <row r="107" spans="1:167">
      <c r="C107" s="56"/>
      <c r="D107" s="56"/>
      <c r="E107" s="56"/>
      <c r="F107" s="56"/>
      <c r="G107" s="56"/>
      <c r="H107" s="56"/>
      <c r="I107" s="56"/>
      <c r="J107" s="56"/>
      <c r="K107" s="56"/>
      <c r="L107" s="56"/>
      <c r="M107" s="56"/>
      <c r="P107" s="56"/>
      <c r="Q107" s="56"/>
      <c r="R107" s="56"/>
      <c r="S107" s="56"/>
      <c r="T107" s="301"/>
      <c r="U107" s="301"/>
      <c r="V107" s="302"/>
      <c r="W107" s="56"/>
      <c r="X107" s="56"/>
      <c r="EK107" s="420" t="s">
        <v>13</v>
      </c>
      <c r="EL107" s="420" t="s">
        <v>13</v>
      </c>
      <c r="EM107" s="420" t="s">
        <v>583</v>
      </c>
      <c r="EN107" s="420">
        <v>3238.1246999999998</v>
      </c>
      <c r="EO107" s="420">
        <v>0.5530047537962407</v>
      </c>
      <c r="EP107" s="421">
        <v>849020</v>
      </c>
      <c r="EQ107" s="422">
        <f t="shared" si="75"/>
        <v>58.102736567302628</v>
      </c>
      <c r="ER107" s="422">
        <f t="shared" si="76"/>
        <v>0.15340844637075821</v>
      </c>
      <c r="ES107">
        <v>0</v>
      </c>
      <c r="EU107" s="306" t="s">
        <v>13</v>
      </c>
      <c r="EV107" s="306" t="s">
        <v>13</v>
      </c>
      <c r="EW107" s="306" t="s">
        <v>583</v>
      </c>
      <c r="EX107" s="306">
        <v>3238.1246999999998</v>
      </c>
      <c r="EY107" s="306">
        <v>0.5530047537962407</v>
      </c>
      <c r="EZ107" s="307">
        <v>849020</v>
      </c>
      <c r="FA107" s="308">
        <f t="shared" si="77"/>
        <v>58.102736567302628</v>
      </c>
      <c r="FB107" s="308">
        <f t="shared" si="68"/>
        <v>0.15340844637075821</v>
      </c>
      <c r="FD107" s="101"/>
      <c r="FE107" s="101"/>
      <c r="FF107" s="101"/>
      <c r="FG107" s="101"/>
      <c r="FH107" s="101"/>
      <c r="FI107" s="374"/>
      <c r="FJ107" s="404"/>
      <c r="FK107" s="404"/>
    </row>
    <row r="108" spans="1:167">
      <c r="C108" s="56"/>
      <c r="D108" s="56"/>
      <c r="E108" s="56"/>
      <c r="F108" s="56"/>
      <c r="G108" s="56"/>
      <c r="H108" s="56"/>
      <c r="I108" s="56"/>
      <c r="J108" s="56"/>
      <c r="K108" s="56"/>
      <c r="L108" s="56"/>
      <c r="M108" s="56"/>
      <c r="P108" s="56"/>
      <c r="Q108" s="56"/>
      <c r="R108" s="56"/>
      <c r="S108" s="56"/>
      <c r="T108" s="301"/>
      <c r="U108" s="301"/>
      <c r="V108" s="302"/>
      <c r="W108" s="56"/>
      <c r="X108" s="56"/>
      <c r="EQ108" s="310">
        <f>SUM(EQ88:EQ107)</f>
        <v>5765.1323569120732</v>
      </c>
      <c r="ER108" s="310">
        <f>SUM(ER88:ER107)</f>
        <v>15.221658225533156</v>
      </c>
      <c r="FA108" s="310"/>
      <c r="FB108" s="310"/>
      <c r="FJ108" s="310"/>
      <c r="FK108" s="310"/>
    </row>
    <row r="109" spans="1:167">
      <c r="C109" s="56"/>
      <c r="D109" s="56"/>
      <c r="E109" s="56"/>
      <c r="F109" s="56"/>
      <c r="G109" s="56"/>
      <c r="H109" s="56"/>
      <c r="I109" s="56"/>
      <c r="J109" s="56"/>
      <c r="K109" s="56"/>
      <c r="L109" s="56"/>
      <c r="M109" s="56"/>
      <c r="P109" s="56"/>
      <c r="Q109" s="56"/>
      <c r="R109" s="56"/>
      <c r="S109" s="56"/>
      <c r="T109" s="301"/>
      <c r="U109" s="301"/>
      <c r="V109" s="302"/>
      <c r="W109" s="56"/>
      <c r="X109" s="56"/>
    </row>
    <row r="110" spans="1:167">
      <c r="C110" s="56"/>
      <c r="D110" s="56"/>
      <c r="E110" s="56"/>
      <c r="F110" s="56"/>
      <c r="G110" s="56"/>
      <c r="H110" s="56"/>
      <c r="I110" s="56"/>
      <c r="J110" s="56"/>
      <c r="K110" s="56"/>
      <c r="L110" s="56"/>
      <c r="M110" s="56"/>
      <c r="P110" s="56"/>
      <c r="Q110" s="56"/>
      <c r="R110" s="56"/>
      <c r="S110" s="56"/>
      <c r="T110" s="301"/>
      <c r="U110" s="301"/>
      <c r="V110" s="302"/>
      <c r="W110" s="56"/>
      <c r="X110" s="56"/>
    </row>
    <row r="111" spans="1:167">
      <c r="C111" s="56"/>
      <c r="D111" s="56"/>
      <c r="E111" s="56"/>
      <c r="F111" s="56"/>
      <c r="G111" s="56"/>
      <c r="H111" s="56"/>
      <c r="I111" s="56"/>
      <c r="J111" s="56"/>
      <c r="K111" s="56"/>
      <c r="L111" s="56"/>
      <c r="M111" s="56"/>
      <c r="P111" s="56"/>
      <c r="Q111" s="56"/>
      <c r="R111" s="56"/>
      <c r="S111" s="56"/>
      <c r="T111" s="301"/>
      <c r="U111" s="301"/>
      <c r="V111" s="302"/>
      <c r="W111" s="56"/>
      <c r="X111" s="56"/>
    </row>
    <row r="112" spans="1:167">
      <c r="C112" s="56"/>
      <c r="D112" s="56"/>
      <c r="E112" s="56"/>
      <c r="F112" s="56"/>
      <c r="G112" s="56"/>
      <c r="H112" s="56"/>
      <c r="I112" s="56"/>
      <c r="J112" s="56"/>
      <c r="K112" s="56"/>
      <c r="L112" s="56"/>
      <c r="M112" s="56"/>
      <c r="P112" s="56"/>
      <c r="Q112" s="56"/>
      <c r="R112" s="56"/>
      <c r="S112" s="56"/>
      <c r="T112" s="301"/>
      <c r="U112" s="301"/>
      <c r="V112" s="302"/>
      <c r="W112" s="56"/>
      <c r="X112" s="56"/>
    </row>
    <row r="113" spans="1:40">
      <c r="C113" s="56"/>
      <c r="D113" s="56"/>
      <c r="E113" s="56"/>
      <c r="F113" s="56"/>
      <c r="G113" s="56"/>
      <c r="H113" s="56"/>
      <c r="I113" s="56"/>
      <c r="J113" s="56"/>
      <c r="K113" s="56"/>
      <c r="L113" s="56"/>
      <c r="M113" s="56"/>
      <c r="P113" s="56"/>
      <c r="Q113" s="56"/>
      <c r="R113" s="56"/>
      <c r="S113" s="56"/>
      <c r="T113" s="301"/>
      <c r="U113" s="301"/>
      <c r="V113" s="302"/>
      <c r="W113" s="56"/>
      <c r="X113" s="56"/>
    </row>
    <row r="114" spans="1:40">
      <c r="C114" s="56"/>
      <c r="D114" s="56"/>
      <c r="E114" s="56"/>
      <c r="F114" s="56"/>
      <c r="G114" s="56"/>
      <c r="H114" s="56"/>
      <c r="I114" s="56"/>
      <c r="J114" s="56"/>
      <c r="K114" s="56"/>
      <c r="L114" s="56"/>
      <c r="M114" s="56"/>
      <c r="P114" s="56"/>
      <c r="Q114" s="56"/>
      <c r="R114" s="56"/>
      <c r="S114" s="56"/>
      <c r="T114" s="301"/>
      <c r="U114" s="301"/>
      <c r="V114" s="302"/>
      <c r="W114" s="56"/>
      <c r="X114" s="56"/>
    </row>
    <row r="116" spans="1:40">
      <c r="A116" t="s">
        <v>203</v>
      </c>
      <c r="L116" s="65" t="s">
        <v>204</v>
      </c>
    </row>
    <row r="117" spans="1:40">
      <c r="C117" s="550" t="s">
        <v>156</v>
      </c>
      <c r="D117" s="551"/>
      <c r="E117" s="550" t="s">
        <v>157</v>
      </c>
      <c r="F117" s="551"/>
      <c r="G117" s="550" t="s">
        <v>158</v>
      </c>
      <c r="H117" s="551"/>
      <c r="I117" s="550" t="s">
        <v>159</v>
      </c>
      <c r="J117" s="551"/>
      <c r="K117" s="550" t="s">
        <v>160</v>
      </c>
      <c r="L117" s="552"/>
      <c r="M117" s="552"/>
      <c r="P117" s="534" t="s">
        <v>156</v>
      </c>
      <c r="Q117" s="534"/>
      <c r="R117" s="534" t="s">
        <v>174</v>
      </c>
      <c r="S117" s="534"/>
      <c r="T117" s="550" t="s">
        <v>158</v>
      </c>
      <c r="U117" s="551"/>
      <c r="V117" s="534" t="s">
        <v>160</v>
      </c>
      <c r="W117" s="534"/>
      <c r="X117" s="534"/>
    </row>
    <row r="118" spans="1:40">
      <c r="A118" t="s">
        <v>205</v>
      </c>
      <c r="C118" s="66" t="s">
        <v>40</v>
      </c>
      <c r="D118" s="66" t="s">
        <v>41</v>
      </c>
      <c r="E118" s="66" t="s">
        <v>40</v>
      </c>
      <c r="F118" s="66" t="s">
        <v>41</v>
      </c>
      <c r="G118" s="66" t="s">
        <v>40</v>
      </c>
      <c r="H118" s="66" t="s">
        <v>41</v>
      </c>
      <c r="I118" s="66" t="s">
        <v>40</v>
      </c>
      <c r="J118" s="66" t="s">
        <v>41</v>
      </c>
      <c r="K118" s="66" t="s">
        <v>40</v>
      </c>
      <c r="L118" s="66" t="s">
        <v>41</v>
      </c>
      <c r="M118" s="67" t="s">
        <v>21</v>
      </c>
      <c r="P118" s="276" t="s">
        <v>40</v>
      </c>
      <c r="Q118" s="276" t="s">
        <v>41</v>
      </c>
      <c r="R118" s="276" t="s">
        <v>40</v>
      </c>
      <c r="S118" s="276" t="s">
        <v>41</v>
      </c>
      <c r="T118" s="66" t="s">
        <v>40</v>
      </c>
      <c r="U118" s="66" t="s">
        <v>41</v>
      </c>
      <c r="V118" s="276" t="s">
        <v>40</v>
      </c>
      <c r="W118" s="276" t="s">
        <v>41</v>
      </c>
      <c r="X118" s="276" t="s">
        <v>21</v>
      </c>
    </row>
    <row r="119" spans="1:40">
      <c r="A119" t="s">
        <v>136</v>
      </c>
      <c r="C119" s="68">
        <v>1113</v>
      </c>
      <c r="D119" s="68">
        <v>1113</v>
      </c>
      <c r="E119" s="69">
        <v>149</v>
      </c>
      <c r="F119" s="69">
        <v>149</v>
      </c>
      <c r="G119" s="69">
        <v>902</v>
      </c>
      <c r="H119" s="69">
        <v>902</v>
      </c>
      <c r="I119" s="68">
        <v>1831</v>
      </c>
      <c r="J119" s="68">
        <v>1831</v>
      </c>
      <c r="K119" s="68">
        <v>3995</v>
      </c>
      <c r="L119" s="68">
        <v>3995</v>
      </c>
      <c r="M119" s="68">
        <v>7990</v>
      </c>
      <c r="P119" s="69">
        <v>704</v>
      </c>
      <c r="Q119" s="69">
        <v>704</v>
      </c>
      <c r="R119" s="69">
        <v>105</v>
      </c>
      <c r="S119" s="69">
        <v>105</v>
      </c>
      <c r="T119" s="74">
        <f t="shared" ref="T119:U125" si="83">G119/$H$8</f>
        <v>77.89291882556131</v>
      </c>
      <c r="U119" s="74">
        <f t="shared" si="83"/>
        <v>77.89291882556131</v>
      </c>
      <c r="V119" s="69">
        <v>809</v>
      </c>
      <c r="W119" s="69">
        <v>809</v>
      </c>
      <c r="X119" s="68">
        <v>1618</v>
      </c>
    </row>
    <row r="120" spans="1:40">
      <c r="A120" t="s">
        <v>206</v>
      </c>
      <c r="C120" s="68">
        <v>3252</v>
      </c>
      <c r="D120" s="68">
        <v>3252</v>
      </c>
      <c r="E120" s="69">
        <v>634</v>
      </c>
      <c r="F120" s="69">
        <v>634</v>
      </c>
      <c r="G120" s="68">
        <v>4005</v>
      </c>
      <c r="H120" s="68">
        <v>4005</v>
      </c>
      <c r="I120" s="68">
        <v>1525</v>
      </c>
      <c r="J120" s="68">
        <v>1525</v>
      </c>
      <c r="K120" s="68">
        <v>9416</v>
      </c>
      <c r="L120" s="68">
        <v>9416</v>
      </c>
      <c r="M120" s="68">
        <v>18832</v>
      </c>
      <c r="P120" s="68">
        <v>2258</v>
      </c>
      <c r="Q120" s="68">
        <v>2258</v>
      </c>
      <c r="R120" s="69">
        <v>459</v>
      </c>
      <c r="S120" s="69">
        <v>459</v>
      </c>
      <c r="T120" s="74">
        <f t="shared" si="83"/>
        <v>345.85492227979273</v>
      </c>
      <c r="U120" s="74">
        <f t="shared" si="83"/>
        <v>345.85492227979273</v>
      </c>
      <c r="V120" s="68">
        <v>2717</v>
      </c>
      <c r="W120" s="68">
        <v>2717</v>
      </c>
      <c r="X120" s="68">
        <v>5434</v>
      </c>
    </row>
    <row r="121" spans="1:40">
      <c r="A121" t="s">
        <v>207</v>
      </c>
      <c r="C121" s="68">
        <v>4405</v>
      </c>
      <c r="D121" s="68">
        <v>4405</v>
      </c>
      <c r="E121" s="69">
        <v>982</v>
      </c>
      <c r="F121" s="69">
        <v>982</v>
      </c>
      <c r="G121" s="68">
        <v>7338</v>
      </c>
      <c r="H121" s="68">
        <v>7338</v>
      </c>
      <c r="I121" s="68">
        <v>1053</v>
      </c>
      <c r="J121" s="68">
        <v>1053</v>
      </c>
      <c r="K121" s="68">
        <v>13778</v>
      </c>
      <c r="L121" s="68">
        <v>13778</v>
      </c>
      <c r="M121" s="68">
        <v>27556</v>
      </c>
      <c r="P121" s="68">
        <v>2942</v>
      </c>
      <c r="Q121" s="68">
        <v>2942</v>
      </c>
      <c r="R121" s="69">
        <v>905</v>
      </c>
      <c r="S121" s="69">
        <v>905</v>
      </c>
      <c r="T121" s="74">
        <f t="shared" si="83"/>
        <v>633.67875647668393</v>
      </c>
      <c r="U121" s="74">
        <f t="shared" si="83"/>
        <v>633.67875647668393</v>
      </c>
      <c r="V121" s="68">
        <v>3847</v>
      </c>
      <c r="W121" s="68">
        <v>3847</v>
      </c>
      <c r="X121" s="68">
        <v>7694</v>
      </c>
    </row>
    <row r="122" spans="1:40">
      <c r="A122" t="s">
        <v>208</v>
      </c>
      <c r="C122" s="68">
        <v>1194</v>
      </c>
      <c r="D122" s="68">
        <v>1194</v>
      </c>
      <c r="E122" s="69">
        <v>324</v>
      </c>
      <c r="F122" s="69">
        <v>324</v>
      </c>
      <c r="G122" s="68">
        <v>1204</v>
      </c>
      <c r="H122" s="68">
        <v>1204</v>
      </c>
      <c r="I122" s="69">
        <v>676</v>
      </c>
      <c r="J122" s="69">
        <v>676</v>
      </c>
      <c r="K122" s="68">
        <v>3398</v>
      </c>
      <c r="L122" s="68">
        <v>3398</v>
      </c>
      <c r="M122" s="68">
        <v>6796</v>
      </c>
      <c r="P122" s="69">
        <v>852</v>
      </c>
      <c r="Q122" s="69">
        <v>852</v>
      </c>
      <c r="R122" s="69">
        <v>278</v>
      </c>
      <c r="S122" s="69">
        <v>278</v>
      </c>
      <c r="T122" s="74">
        <f t="shared" si="83"/>
        <v>103.97236614853195</v>
      </c>
      <c r="U122" s="74">
        <f t="shared" si="83"/>
        <v>103.97236614853195</v>
      </c>
      <c r="V122" s="68">
        <v>1130</v>
      </c>
      <c r="W122" s="68">
        <v>1130</v>
      </c>
      <c r="X122" s="68">
        <v>2260</v>
      </c>
      <c r="AK122" s="447" t="s">
        <v>279</v>
      </c>
      <c r="AL122" s="447"/>
      <c r="AM122" s="447"/>
      <c r="AN122" s="447"/>
    </row>
    <row r="123" spans="1:40">
      <c r="A123" t="s">
        <v>209</v>
      </c>
      <c r="C123" s="68">
        <v>2353</v>
      </c>
      <c r="D123" s="68">
        <v>2353</v>
      </c>
      <c r="E123" s="69">
        <v>560</v>
      </c>
      <c r="F123" s="69">
        <v>560</v>
      </c>
      <c r="G123" s="68">
        <v>2525</v>
      </c>
      <c r="H123" s="68">
        <v>2525</v>
      </c>
      <c r="I123" s="68">
        <v>2539</v>
      </c>
      <c r="J123" s="68">
        <v>2539</v>
      </c>
      <c r="K123" s="68">
        <v>7977</v>
      </c>
      <c r="L123" s="68">
        <v>7977</v>
      </c>
      <c r="M123" s="68">
        <v>15954</v>
      </c>
      <c r="P123" s="68">
        <v>1671</v>
      </c>
      <c r="Q123" s="68">
        <v>1671</v>
      </c>
      <c r="R123" s="69">
        <v>452</v>
      </c>
      <c r="S123" s="69">
        <v>452</v>
      </c>
      <c r="T123" s="74">
        <f t="shared" si="83"/>
        <v>218.04835924006909</v>
      </c>
      <c r="U123" s="74">
        <f t="shared" si="83"/>
        <v>218.04835924006909</v>
      </c>
      <c r="V123" s="68">
        <v>2123</v>
      </c>
      <c r="W123" s="68">
        <v>2123</v>
      </c>
      <c r="X123" s="68">
        <v>4246</v>
      </c>
      <c r="AK123" t="s">
        <v>73</v>
      </c>
      <c r="AL123" t="s">
        <v>217</v>
      </c>
      <c r="AM123" t="s">
        <v>125</v>
      </c>
      <c r="AN123" t="s">
        <v>126</v>
      </c>
    </row>
    <row r="124" spans="1:40">
      <c r="A124" t="s">
        <v>210</v>
      </c>
      <c r="C124" s="68">
        <v>4287</v>
      </c>
      <c r="D124" s="68">
        <v>4287</v>
      </c>
      <c r="E124" s="68">
        <v>1040</v>
      </c>
      <c r="F124" s="68">
        <v>1040</v>
      </c>
      <c r="G124" s="68">
        <v>4743</v>
      </c>
      <c r="H124" s="68">
        <v>4743</v>
      </c>
      <c r="I124" s="68">
        <v>4771</v>
      </c>
      <c r="J124" s="68">
        <v>4771</v>
      </c>
      <c r="K124" s="68">
        <v>14841</v>
      </c>
      <c r="L124" s="68">
        <v>14841</v>
      </c>
      <c r="M124" s="68">
        <v>29682</v>
      </c>
      <c r="P124" s="68">
        <v>3021</v>
      </c>
      <c r="Q124" s="68">
        <v>3021</v>
      </c>
      <c r="R124" s="69">
        <v>820</v>
      </c>
      <c r="S124" s="69">
        <v>820</v>
      </c>
      <c r="T124" s="74">
        <f t="shared" si="83"/>
        <v>409.58549222797927</v>
      </c>
      <c r="U124" s="74">
        <f t="shared" si="83"/>
        <v>409.58549222797927</v>
      </c>
      <c r="V124" s="68">
        <v>3841</v>
      </c>
      <c r="W124" s="68">
        <v>3841</v>
      </c>
      <c r="X124" s="68">
        <v>7682</v>
      </c>
      <c r="AK124">
        <v>263.28750000000002</v>
      </c>
      <c r="AL124">
        <v>263.14999999999998</v>
      </c>
      <c r="AM124">
        <v>658.34339999999997</v>
      </c>
      <c r="AN124">
        <v>649.94010000000003</v>
      </c>
    </row>
    <row r="125" spans="1:40">
      <c r="A125" t="s">
        <v>211</v>
      </c>
      <c r="C125" s="69">
        <v>24</v>
      </c>
      <c r="D125" s="69">
        <v>24</v>
      </c>
      <c r="E125" s="69">
        <v>2</v>
      </c>
      <c r="F125" s="69">
        <v>2</v>
      </c>
      <c r="G125" s="69">
        <v>33</v>
      </c>
      <c r="H125" s="69">
        <v>33</v>
      </c>
      <c r="I125" s="69">
        <v>30</v>
      </c>
      <c r="J125" s="69">
        <v>30</v>
      </c>
      <c r="K125" s="69">
        <v>89</v>
      </c>
      <c r="L125" s="69">
        <v>89</v>
      </c>
      <c r="M125" s="69">
        <v>178</v>
      </c>
      <c r="P125" s="69">
        <v>19</v>
      </c>
      <c r="Q125" s="69">
        <v>19</v>
      </c>
      <c r="R125" s="69">
        <v>4</v>
      </c>
      <c r="S125" s="69">
        <v>4</v>
      </c>
      <c r="T125" s="74">
        <f t="shared" si="83"/>
        <v>2.849740932642487</v>
      </c>
      <c r="U125" s="74">
        <f t="shared" si="83"/>
        <v>2.849740932642487</v>
      </c>
      <c r="V125" s="69">
        <v>23</v>
      </c>
      <c r="W125" s="69">
        <v>23</v>
      </c>
      <c r="X125" s="69">
        <v>46</v>
      </c>
      <c r="AK125">
        <v>263.15710000000001</v>
      </c>
      <c r="AL125">
        <v>263.3263</v>
      </c>
      <c r="AM125">
        <v>652.92409999999995</v>
      </c>
      <c r="AN125">
        <v>649.42539999999997</v>
      </c>
    </row>
    <row r="126" spans="1:40">
      <c r="AK126">
        <v>263.78250000000003</v>
      </c>
      <c r="AL126">
        <v>263.52199999999999</v>
      </c>
      <c r="AM126">
        <v>655.89350000000002</v>
      </c>
      <c r="AN126">
        <v>647.83619999999996</v>
      </c>
    </row>
    <row r="127" spans="1:40">
      <c r="AK127">
        <v>264.4948</v>
      </c>
      <c r="AL127">
        <v>264.25319999999999</v>
      </c>
      <c r="AM127">
        <v>650.22400000000005</v>
      </c>
      <c r="AN127">
        <v>646.25300000000004</v>
      </c>
    </row>
    <row r="128" spans="1:40">
      <c r="AK128">
        <v>264.38010000000003</v>
      </c>
      <c r="AL128">
        <v>265.44740000000002</v>
      </c>
      <c r="AN128">
        <v>644.66999999999996</v>
      </c>
    </row>
    <row r="129" spans="27:38">
      <c r="AK129">
        <v>264.01859999999999</v>
      </c>
      <c r="AL129">
        <v>265.53899999999999</v>
      </c>
    </row>
    <row r="130" spans="27:38">
      <c r="AA130" s="32" t="s">
        <v>147</v>
      </c>
      <c r="AB130" s="32" t="s">
        <v>148</v>
      </c>
      <c r="AC130" s="32" t="s">
        <v>74</v>
      </c>
      <c r="AD130" s="32" t="s">
        <v>562</v>
      </c>
      <c r="AK130">
        <v>264.45800000000003</v>
      </c>
      <c r="AL130">
        <v>265.59870000000001</v>
      </c>
    </row>
    <row r="131" spans="27:38">
      <c r="AA131" t="s">
        <v>135</v>
      </c>
      <c r="AB131" t="s">
        <v>73</v>
      </c>
      <c r="AC131" s="75">
        <v>14267.0414</v>
      </c>
      <c r="AD131">
        <f>AC131/SUM($AC$131:$AC$132)</f>
        <v>0.4735987268619668</v>
      </c>
      <c r="AE131">
        <f>SUM(AD131:AD132)</f>
        <v>1</v>
      </c>
      <c r="AK131">
        <v>264.3426</v>
      </c>
      <c r="AL131">
        <v>265.5573</v>
      </c>
    </row>
    <row r="132" spans="27:38">
      <c r="AA132" t="s">
        <v>135</v>
      </c>
      <c r="AB132" t="s">
        <v>217</v>
      </c>
      <c r="AC132" s="75">
        <v>15857.7047</v>
      </c>
      <c r="AD132">
        <f>AC132/SUM($AC$131:$AC$132)</f>
        <v>0.5264012731380332</v>
      </c>
      <c r="AK132">
        <v>264.30790000000002</v>
      </c>
      <c r="AL132">
        <v>265.53140000000002</v>
      </c>
    </row>
    <row r="133" spans="27:38">
      <c r="AA133" t="s">
        <v>206</v>
      </c>
      <c r="AB133" t="s">
        <v>75</v>
      </c>
      <c r="AC133" s="75">
        <v>38657.855799999998</v>
      </c>
      <c r="AD133">
        <v>1</v>
      </c>
      <c r="AK133">
        <v>264.80329999999998</v>
      </c>
      <c r="AL133">
        <v>265.53230000000002</v>
      </c>
    </row>
    <row r="134" spans="27:38">
      <c r="AA134" t="s">
        <v>206</v>
      </c>
      <c r="AB134" t="s">
        <v>76</v>
      </c>
      <c r="AC134" s="75">
        <v>38408.5</v>
      </c>
      <c r="AD134">
        <v>1</v>
      </c>
      <c r="AK134">
        <v>264.80329999999998</v>
      </c>
      <c r="AL134">
        <v>265.58249999999998</v>
      </c>
    </row>
    <row r="135" spans="27:38">
      <c r="AA135" t="s">
        <v>206</v>
      </c>
      <c r="AB135" t="s">
        <v>220</v>
      </c>
      <c r="AC135" s="75">
        <v>31514.0893</v>
      </c>
      <c r="AD135">
        <v>1</v>
      </c>
      <c r="AK135">
        <v>264.80329999999998</v>
      </c>
      <c r="AL135">
        <v>265.4778</v>
      </c>
    </row>
    <row r="136" spans="27:38">
      <c r="AA136" t="s">
        <v>206</v>
      </c>
      <c r="AB136" t="s">
        <v>221</v>
      </c>
      <c r="AC136" s="75">
        <v>32098.9882</v>
      </c>
      <c r="AD136">
        <v>1</v>
      </c>
      <c r="AK136">
        <v>265.37630000000001</v>
      </c>
      <c r="AL136">
        <v>264.19540000000001</v>
      </c>
    </row>
    <row r="137" spans="27:38">
      <c r="AA137" t="s">
        <v>207</v>
      </c>
      <c r="AB137" t="s">
        <v>78</v>
      </c>
      <c r="AC137" s="75">
        <v>63163.374600000003</v>
      </c>
      <c r="AD137">
        <f>AC137/SUM($AC$137:$AC$139)</f>
        <v>0.3749310795992149</v>
      </c>
      <c r="AE137">
        <f>SUM(AD137:AD139)</f>
        <v>1</v>
      </c>
      <c r="AK137">
        <v>265.37630000000001</v>
      </c>
      <c r="AL137">
        <v>265.48930000000001</v>
      </c>
    </row>
    <row r="138" spans="27:38">
      <c r="AA138" t="s">
        <v>207</v>
      </c>
      <c r="AB138" t="s">
        <v>79</v>
      </c>
      <c r="AC138" s="75">
        <v>36231.236499999999</v>
      </c>
      <c r="AD138">
        <f t="shared" ref="AD138:AD139" si="84">AC138/SUM($AC$137:$AC$139)</f>
        <v>0.21506476976864181</v>
      </c>
      <c r="AK138">
        <v>265.37630000000001</v>
      </c>
      <c r="AL138">
        <v>265.2303</v>
      </c>
    </row>
    <row r="139" spans="27:38">
      <c r="AA139" t="s">
        <v>207</v>
      </c>
      <c r="AB139" t="s">
        <v>223</v>
      </c>
      <c r="AC139" s="75">
        <v>69072.016600000003</v>
      </c>
      <c r="AD139">
        <f t="shared" si="84"/>
        <v>0.41000415063214324</v>
      </c>
      <c r="AK139">
        <v>263.63299999999998</v>
      </c>
      <c r="AL139">
        <v>264.9914</v>
      </c>
    </row>
    <row r="140" spans="27:38">
      <c r="AA140" t="s">
        <v>208</v>
      </c>
      <c r="AB140" t="s">
        <v>85</v>
      </c>
      <c r="AC140" s="75">
        <v>4861.8494000000001</v>
      </c>
      <c r="AD140">
        <f>AC140/SUM($AC$140:$AC$142)</f>
        <v>0.50932407249705824</v>
      </c>
      <c r="AE140">
        <f>SUM(AD140:AD142)</f>
        <v>1</v>
      </c>
      <c r="AK140">
        <v>263.19029999999998</v>
      </c>
      <c r="AL140">
        <v>264.56079999999997</v>
      </c>
    </row>
    <row r="141" spans="27:38">
      <c r="AA141" t="s">
        <v>208</v>
      </c>
      <c r="AB141" t="s">
        <v>81</v>
      </c>
      <c r="AC141" s="75">
        <v>2430.8498</v>
      </c>
      <c r="AD141">
        <f>AC141/SUM($AC$140:$AC$142)</f>
        <v>0.25465418977491561</v>
      </c>
      <c r="AK141">
        <v>264.1825</v>
      </c>
      <c r="AL141">
        <v>265.35079999999999</v>
      </c>
    </row>
    <row r="142" spans="27:38">
      <c r="AA142" t="s">
        <v>208</v>
      </c>
      <c r="AB142" t="s">
        <v>82</v>
      </c>
      <c r="AC142" s="75">
        <v>2252.9902000000002</v>
      </c>
      <c r="AD142">
        <f>AC142/SUM($AC$140:$AC$142)</f>
        <v>0.23602173772802626</v>
      </c>
      <c r="AK142">
        <v>263.05619999999999</v>
      </c>
      <c r="AL142">
        <v>265.38589999999999</v>
      </c>
    </row>
    <row r="143" spans="27:38">
      <c r="AA143" t="s">
        <v>209</v>
      </c>
      <c r="AB143" t="s">
        <v>113</v>
      </c>
      <c r="AC143" s="75">
        <v>5756.5210999999999</v>
      </c>
      <c r="AD143">
        <f>AC143/SUM($AC$143:$AC$145)</f>
        <v>0.34334776653141269</v>
      </c>
      <c r="AE143">
        <f>SUM(AD143:AD145)</f>
        <v>1</v>
      </c>
      <c r="AK143">
        <v>263.01089999999999</v>
      </c>
      <c r="AL143">
        <v>265.15949999999998</v>
      </c>
    </row>
    <row r="144" spans="27:38">
      <c r="AA144" t="s">
        <v>209</v>
      </c>
      <c r="AB144" t="s">
        <v>114</v>
      </c>
      <c r="AC144" s="75">
        <v>5584.9350000000004</v>
      </c>
      <c r="AD144">
        <f t="shared" ref="AD144:AD145" si="85">AC144/SUM($AC$143:$AC$145)</f>
        <v>0.33311351164388425</v>
      </c>
      <c r="AK144">
        <v>264.36450000000002</v>
      </c>
      <c r="AL144">
        <v>265.40269999999998</v>
      </c>
    </row>
    <row r="145" spans="27:38">
      <c r="AA145" t="s">
        <v>209</v>
      </c>
      <c r="AB145" t="s">
        <v>115</v>
      </c>
      <c r="AC145" s="75">
        <v>5424.4053999999996</v>
      </c>
      <c r="AD145">
        <f t="shared" si="85"/>
        <v>0.32353872182470311</v>
      </c>
      <c r="AK145">
        <v>263.18360000000001</v>
      </c>
      <c r="AL145">
        <v>265.25900000000001</v>
      </c>
    </row>
    <row r="146" spans="27:38">
      <c r="AA146" t="s">
        <v>229</v>
      </c>
      <c r="AB146" t="s">
        <v>102</v>
      </c>
      <c r="AC146" s="75">
        <v>28051.338899999999</v>
      </c>
      <c r="AD146">
        <f>AC146/$AC$146</f>
        <v>1</v>
      </c>
      <c r="AE146">
        <f>SUM(AD146)</f>
        <v>1</v>
      </c>
      <c r="AK146">
        <v>263.02910000000003</v>
      </c>
      <c r="AL146">
        <v>265.23009999999999</v>
      </c>
    </row>
    <row r="147" spans="27:38">
      <c r="AA147" t="s">
        <v>211</v>
      </c>
      <c r="AB147" t="s">
        <v>105</v>
      </c>
      <c r="AC147" s="75">
        <v>15650.840399999999</v>
      </c>
      <c r="AD147">
        <f>AC147/SUM($AC$147:$AC$148)</f>
        <v>0.80490868986400721</v>
      </c>
      <c r="AE147">
        <f>SUM(AD147:AD148)</f>
        <v>1</v>
      </c>
      <c r="AK147">
        <v>263.04509999999999</v>
      </c>
      <c r="AL147">
        <v>265.24959999999999</v>
      </c>
    </row>
    <row r="148" spans="27:38">
      <c r="AA148" t="s">
        <v>211</v>
      </c>
      <c r="AB148" t="s">
        <v>106</v>
      </c>
      <c r="AC148" s="75">
        <v>3793.4029</v>
      </c>
      <c r="AD148">
        <f>AC148/SUM($AC$147:$AC$148)</f>
        <v>0.19509131013599282</v>
      </c>
      <c r="AK148">
        <v>263.1241</v>
      </c>
      <c r="AL148">
        <v>265.00060000000002</v>
      </c>
    </row>
    <row r="149" spans="27:38">
      <c r="AA149" t="s">
        <v>136</v>
      </c>
      <c r="AB149" t="s">
        <v>125</v>
      </c>
      <c r="AC149" s="75">
        <v>2617.3850000000002</v>
      </c>
      <c r="AD149">
        <f>AC149/SUM($AC$149:$AC$150)</f>
        <v>0.44699524620375919</v>
      </c>
      <c r="AE149">
        <f>SUM(AD149:AD150)</f>
        <v>0.99999999999999989</v>
      </c>
      <c r="AK149">
        <v>263.0609</v>
      </c>
      <c r="AL149">
        <v>263.95639999999997</v>
      </c>
    </row>
    <row r="150" spans="27:38">
      <c r="AA150" t="s">
        <v>136</v>
      </c>
      <c r="AB150" t="s">
        <v>126</v>
      </c>
      <c r="AC150" s="75">
        <v>3238.1246999999998</v>
      </c>
      <c r="AD150">
        <f>AC150/SUM($AC$149:$AC$150)</f>
        <v>0.5530047537962407</v>
      </c>
      <c r="AK150">
        <v>263.26960000000003</v>
      </c>
      <c r="AL150">
        <v>263.35599999999999</v>
      </c>
    </row>
    <row r="151" spans="27:38">
      <c r="AK151">
        <v>263.25670000000002</v>
      </c>
      <c r="AL151">
        <v>263.27480000000003</v>
      </c>
    </row>
    <row r="152" spans="27:38">
      <c r="AK152">
        <v>263.22179999999997</v>
      </c>
      <c r="AL152">
        <v>264.59930000000003</v>
      </c>
    </row>
    <row r="153" spans="27:38">
      <c r="AK153">
        <v>263.14269999999999</v>
      </c>
      <c r="AL153">
        <v>264.1114</v>
      </c>
    </row>
    <row r="154" spans="27:38">
      <c r="AK154">
        <v>263.28269999999998</v>
      </c>
      <c r="AL154">
        <v>264.56790000000001</v>
      </c>
    </row>
    <row r="155" spans="27:38">
      <c r="AK155">
        <v>263.08359999999999</v>
      </c>
      <c r="AL155">
        <v>264.10300000000001</v>
      </c>
    </row>
    <row r="156" spans="27:38">
      <c r="AK156">
        <v>263.1728</v>
      </c>
      <c r="AL156">
        <v>264.13679999999999</v>
      </c>
    </row>
    <row r="157" spans="27:38">
      <c r="AK157">
        <v>263.08359999999999</v>
      </c>
      <c r="AL157">
        <v>265.03250000000003</v>
      </c>
    </row>
    <row r="158" spans="27:38">
      <c r="AK158">
        <v>263.1728</v>
      </c>
      <c r="AL158">
        <v>263.67070000000001</v>
      </c>
    </row>
    <row r="159" spans="27:38">
      <c r="AK159">
        <v>263.01299999999998</v>
      </c>
      <c r="AL159">
        <v>264.59930000000003</v>
      </c>
    </row>
    <row r="160" spans="27:38">
      <c r="AK160">
        <v>263.08710000000002</v>
      </c>
      <c r="AL160">
        <v>264.1114</v>
      </c>
    </row>
    <row r="161" spans="37:38">
      <c r="AK161">
        <v>263.33159999999998</v>
      </c>
      <c r="AL161">
        <v>264.56790000000001</v>
      </c>
    </row>
    <row r="162" spans="37:38">
      <c r="AK162">
        <v>265.45819999999998</v>
      </c>
      <c r="AL162">
        <v>264.10300000000001</v>
      </c>
    </row>
    <row r="163" spans="37:38">
      <c r="AK163">
        <v>265.39909999999998</v>
      </c>
      <c r="AL163">
        <v>264.13679999999999</v>
      </c>
    </row>
    <row r="164" spans="37:38">
      <c r="AK164">
        <v>265.35759999999999</v>
      </c>
      <c r="AL164">
        <v>265.03250000000003</v>
      </c>
    </row>
    <row r="165" spans="37:38">
      <c r="AK165">
        <v>265.48480000000001</v>
      </c>
      <c r="AL165">
        <v>263.67070000000001</v>
      </c>
    </row>
    <row r="166" spans="37:38">
      <c r="AK166">
        <v>265.4966</v>
      </c>
      <c r="AL166">
        <v>263.78210000000001</v>
      </c>
    </row>
    <row r="167" spans="37:38">
      <c r="AK167">
        <v>265.44389999999999</v>
      </c>
      <c r="AL167">
        <v>262.28149999999999</v>
      </c>
    </row>
    <row r="168" spans="37:38">
      <c r="AK168">
        <v>265.4871</v>
      </c>
      <c r="AL168">
        <v>263.08690000000001</v>
      </c>
    </row>
    <row r="169" spans="37:38">
      <c r="AK169">
        <v>265.36009999999999</v>
      </c>
      <c r="AL169">
        <v>263.19619999999998</v>
      </c>
    </row>
    <row r="170" spans="37:38">
      <c r="AK170">
        <v>265.33390000000003</v>
      </c>
      <c r="AL170">
        <v>263.19619999999998</v>
      </c>
    </row>
    <row r="171" spans="37:38">
      <c r="AK171">
        <v>263.99829999999997</v>
      </c>
      <c r="AL171">
        <v>263.19619999999998</v>
      </c>
    </row>
    <row r="172" spans="37:38">
      <c r="AK172">
        <v>265.33260000000001</v>
      </c>
      <c r="AL172">
        <v>263.19619999999998</v>
      </c>
    </row>
    <row r="173" spans="37:38">
      <c r="AK173">
        <v>265.49009999999998</v>
      </c>
      <c r="AL173">
        <v>263.19619999999998</v>
      </c>
    </row>
    <row r="174" spans="37:38">
      <c r="AK174">
        <v>265.39690000000002</v>
      </c>
      <c r="AL174">
        <v>263.19619999999998</v>
      </c>
    </row>
    <row r="175" spans="37:38">
      <c r="AK175">
        <v>265.41719999999998</v>
      </c>
      <c r="AL175">
        <v>264.41059999999999</v>
      </c>
    </row>
    <row r="176" spans="37:38">
      <c r="AK176">
        <v>265.38510000000002</v>
      </c>
      <c r="AL176">
        <v>264.40190000000001</v>
      </c>
    </row>
    <row r="177" spans="37:40">
      <c r="AK177">
        <v>265.43380000000002</v>
      </c>
      <c r="AL177">
        <v>263.1893</v>
      </c>
    </row>
    <row r="178" spans="37:40">
      <c r="AL178">
        <v>263.76400000000001</v>
      </c>
    </row>
    <row r="179" spans="37:40">
      <c r="AL179">
        <v>263.76400000000001</v>
      </c>
    </row>
    <row r="180" spans="37:40">
      <c r="AL180">
        <v>263.76400000000001</v>
      </c>
    </row>
    <row r="181" spans="37:40">
      <c r="AL181">
        <v>263.33859999999999</v>
      </c>
    </row>
    <row r="182" spans="37:40">
      <c r="AL182">
        <v>263.40210000000002</v>
      </c>
    </row>
    <row r="183" spans="37:40">
      <c r="AL183">
        <v>263.28879999999998</v>
      </c>
    </row>
    <row r="189" spans="37:40">
      <c r="AK189">
        <f>SUM(AK124:AK188)</f>
        <v>14267.0414</v>
      </c>
      <c r="AL189">
        <f t="shared" ref="AL189:AN189" si="86">SUM(AL124:AL188)</f>
        <v>15857.704699999997</v>
      </c>
      <c r="AM189">
        <f t="shared" si="86"/>
        <v>2617.3850000000002</v>
      </c>
      <c r="AN189">
        <f t="shared" si="86"/>
        <v>3238.1246999999998</v>
      </c>
    </row>
    <row r="190" spans="37:40">
      <c r="AM190">
        <v>2617.3850000000002</v>
      </c>
      <c r="AN190">
        <v>3238.1246999999998</v>
      </c>
    </row>
  </sheetData>
  <mergeCells count="99">
    <mergeCell ref="AX5:AZ5"/>
    <mergeCell ref="AA12:AB12"/>
    <mergeCell ref="AC12:AD12"/>
    <mergeCell ref="AP12:AQ12"/>
    <mergeCell ref="AR12:AS12"/>
    <mergeCell ref="BP25:BR25"/>
    <mergeCell ref="AV25:AW25"/>
    <mergeCell ref="AX25:AZ25"/>
    <mergeCell ref="AA25:AB25"/>
    <mergeCell ref="AI25:AK25"/>
    <mergeCell ref="AP25:AQ25"/>
    <mergeCell ref="AR25:AS25"/>
    <mergeCell ref="AT25:AU25"/>
    <mergeCell ref="AC25:AD25"/>
    <mergeCell ref="AE25:AF25"/>
    <mergeCell ref="AG25:AH25"/>
    <mergeCell ref="BG25:BI25"/>
    <mergeCell ref="AA4:AF4"/>
    <mergeCell ref="AG4:AH5"/>
    <mergeCell ref="AP4:AU4"/>
    <mergeCell ref="AV4:AW5"/>
    <mergeCell ref="AP5:AQ5"/>
    <mergeCell ref="AR5:AS5"/>
    <mergeCell ref="AT5:AU5"/>
    <mergeCell ref="AA5:AB5"/>
    <mergeCell ref="AC5:AD5"/>
    <mergeCell ref="AE5:AF5"/>
    <mergeCell ref="AI5:AK5"/>
    <mergeCell ref="BP26:BP43"/>
    <mergeCell ref="BQ26:BQ29"/>
    <mergeCell ref="BQ30:BQ31"/>
    <mergeCell ref="BQ32:BQ33"/>
    <mergeCell ref="BQ34:BQ35"/>
    <mergeCell ref="BQ36:BQ37"/>
    <mergeCell ref="BQ38:BQ39"/>
    <mergeCell ref="BQ40:BQ41"/>
    <mergeCell ref="BQ42:BQ43"/>
    <mergeCell ref="BG26:BG43"/>
    <mergeCell ref="BH26:BH29"/>
    <mergeCell ref="BH30:BH31"/>
    <mergeCell ref="BH32:BH33"/>
    <mergeCell ref="BH34:BH35"/>
    <mergeCell ref="BH36:BH37"/>
    <mergeCell ref="BH38:BH39"/>
    <mergeCell ref="BH40:BH41"/>
    <mergeCell ref="BH42:BH43"/>
    <mergeCell ref="AK122:AN122"/>
    <mergeCell ref="DR60:DU60"/>
    <mergeCell ref="DY60:DZ60"/>
    <mergeCell ref="CE60:CR60"/>
    <mergeCell ref="CX60:DA60"/>
    <mergeCell ref="DB60:DE60"/>
    <mergeCell ref="DF60:DI60"/>
    <mergeCell ref="DJ60:DM60"/>
    <mergeCell ref="DN60:DQ60"/>
    <mergeCell ref="BC60:BP60"/>
    <mergeCell ref="AO60:BB60"/>
    <mergeCell ref="AA60:AN60"/>
    <mergeCell ref="P117:Q117"/>
    <mergeCell ref="R117:S117"/>
    <mergeCell ref="T117:U117"/>
    <mergeCell ref="V117:X117"/>
    <mergeCell ref="G27:H27"/>
    <mergeCell ref="I27:J27"/>
    <mergeCell ref="K27:M27"/>
    <mergeCell ref="M60:Z60"/>
    <mergeCell ref="C117:D117"/>
    <mergeCell ref="E117:F117"/>
    <mergeCell ref="G117:H117"/>
    <mergeCell ref="I117:J117"/>
    <mergeCell ref="K117:M117"/>
    <mergeCell ref="B6:C7"/>
    <mergeCell ref="D6:E6"/>
    <mergeCell ref="B8:B9"/>
    <mergeCell ref="B10:B11"/>
    <mergeCell ref="B12:B13"/>
    <mergeCell ref="ED60:EE60"/>
    <mergeCell ref="M86:Z86"/>
    <mergeCell ref="AA86:AN86"/>
    <mergeCell ref="AO86:BB86"/>
    <mergeCell ref="BC86:BP86"/>
    <mergeCell ref="BQ86:CD86"/>
    <mergeCell ref="CE86:CR86"/>
    <mergeCell ref="CX86:DA86"/>
    <mergeCell ref="DB86:DE86"/>
    <mergeCell ref="DF86:DI86"/>
    <mergeCell ref="DJ86:DM86"/>
    <mergeCell ref="DN86:DQ86"/>
    <mergeCell ref="DR86:DU86"/>
    <mergeCell ref="DY86:DZ86"/>
    <mergeCell ref="ED86:EE86"/>
    <mergeCell ref="BQ60:CD60"/>
    <mergeCell ref="C27:D27"/>
    <mergeCell ref="E27:F27"/>
    <mergeCell ref="B14:B15"/>
    <mergeCell ref="B16:B17"/>
    <mergeCell ref="B18:B19"/>
    <mergeCell ref="B20:B21"/>
    <mergeCell ref="B22:B23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C307"/>
  <sheetViews>
    <sheetView topLeftCell="DH80" zoomScale="70" zoomScaleNormal="70" workbookViewId="0">
      <selection activeCell="EW113" sqref="EW113"/>
    </sheetView>
  </sheetViews>
  <sheetFormatPr defaultRowHeight="17"/>
  <cols>
    <col min="3" max="3" width="11.5" bestFit="1" customWidth="1"/>
    <col min="11" max="11" width="41.5" bestFit="1" customWidth="1"/>
    <col min="13" max="13" width="8.75" bestFit="1" customWidth="1"/>
    <col min="14" max="14" width="11.5" bestFit="1" customWidth="1"/>
    <col min="15" max="15" width="11.08203125" bestFit="1" customWidth="1"/>
    <col min="16" max="17" width="11.5" bestFit="1" customWidth="1"/>
    <col min="18" max="19" width="8.75" bestFit="1" customWidth="1"/>
    <col min="20" max="20" width="9.58203125" bestFit="1" customWidth="1"/>
    <col min="21" max="21" width="8.75" bestFit="1" customWidth="1"/>
    <col min="22" max="22" width="11.58203125" bestFit="1" customWidth="1"/>
    <col min="23" max="24" width="8.75" bestFit="1" customWidth="1"/>
    <col min="25" max="25" width="9.75" bestFit="1" customWidth="1"/>
    <col min="26" max="26" width="9.58203125" bestFit="1" customWidth="1"/>
    <col min="31" max="31" width="11.75" bestFit="1" customWidth="1"/>
    <col min="32" max="32" width="11" bestFit="1" customWidth="1"/>
    <col min="48" max="48" width="16.4140625" customWidth="1"/>
    <col min="49" max="49" width="13.08203125" bestFit="1" customWidth="1"/>
    <col min="56" max="56" width="16.33203125" bestFit="1" customWidth="1"/>
    <col min="83" max="84" width="7.6640625" bestFit="1" customWidth="1"/>
    <col min="85" max="87" width="9" bestFit="1" customWidth="1"/>
    <col min="88" max="88" width="13.75" bestFit="1" customWidth="1"/>
    <col min="89" max="89" width="9" bestFit="1" customWidth="1"/>
    <col min="90" max="90" width="11.75" bestFit="1" customWidth="1"/>
    <col min="91" max="91" width="10.25" bestFit="1" customWidth="1"/>
    <col min="92" max="92" width="6.58203125" bestFit="1" customWidth="1"/>
    <col min="93" max="94" width="7.1640625" bestFit="1" customWidth="1"/>
    <col min="95" max="95" width="5.5" bestFit="1" customWidth="1"/>
    <col min="96" max="96" width="7.6640625" bestFit="1" customWidth="1"/>
    <col min="101" max="101" width="18.1640625" bestFit="1" customWidth="1"/>
    <col min="127" max="128" width="19.58203125" bestFit="1" customWidth="1"/>
    <col min="133" max="133" width="19.58203125" bestFit="1" customWidth="1"/>
    <col min="136" max="136" width="19" bestFit="1" customWidth="1"/>
    <col min="137" max="137" width="19" customWidth="1"/>
    <col min="138" max="138" width="11.83203125" bestFit="1" customWidth="1"/>
  </cols>
  <sheetData>
    <row r="1" spans="1:56">
      <c r="A1" t="s">
        <v>846</v>
      </c>
    </row>
    <row r="2" spans="1:56">
      <c r="A2" s="32" t="s">
        <v>149</v>
      </c>
      <c r="B2" s="32" t="s">
        <v>845</v>
      </c>
    </row>
    <row r="4" spans="1:56" ht="20.5">
      <c r="A4" t="s">
        <v>0</v>
      </c>
      <c r="K4" t="s">
        <v>276</v>
      </c>
      <c r="M4" t="s">
        <v>257</v>
      </c>
      <c r="S4" t="s">
        <v>253</v>
      </c>
      <c r="AV4" s="364" t="s">
        <v>773</v>
      </c>
      <c r="BD4" s="364" t="s">
        <v>773</v>
      </c>
    </row>
    <row r="5" spans="1:56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  <c r="AV5" t="s">
        <v>772</v>
      </c>
    </row>
    <row r="6" spans="1:56" ht="17.25" customHeight="1" thickTop="1" thickBot="1">
      <c r="A6" s="576" t="s">
        <v>27</v>
      </c>
      <c r="B6" s="577"/>
      <c r="C6" s="1" t="s">
        <v>2</v>
      </c>
      <c r="D6" s="619" t="s">
        <v>5</v>
      </c>
      <c r="E6" s="577"/>
      <c r="F6" s="619" t="s">
        <v>7</v>
      </c>
      <c r="G6" s="620"/>
      <c r="H6" s="621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622" t="s">
        <v>175</v>
      </c>
      <c r="T6" s="623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71</v>
      </c>
      <c r="AG6" t="s">
        <v>72</v>
      </c>
      <c r="AL6" s="76" t="s">
        <v>244</v>
      </c>
      <c r="AN6" t="s">
        <v>245</v>
      </c>
      <c r="AV6" t="s">
        <v>776</v>
      </c>
      <c r="BD6" s="32" t="s">
        <v>777</v>
      </c>
    </row>
    <row r="7" spans="1:56" ht="18" thickTop="1" thickBot="1">
      <c r="A7" s="613"/>
      <c r="B7" s="614"/>
      <c r="C7" s="2" t="s">
        <v>3</v>
      </c>
      <c r="D7" s="624" t="s">
        <v>6</v>
      </c>
      <c r="E7" s="625"/>
      <c r="F7" s="624" t="s">
        <v>8</v>
      </c>
      <c r="G7" s="626"/>
      <c r="H7" s="627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628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6" t="s">
        <v>27</v>
      </c>
      <c r="AG7" s="577"/>
      <c r="AH7" s="1" t="s">
        <v>340</v>
      </c>
      <c r="AI7" s="615" t="s">
        <v>234</v>
      </c>
      <c r="AJ7" s="616"/>
      <c r="AK7" s="616"/>
      <c r="AL7" s="616"/>
      <c r="AM7" s="616"/>
      <c r="AN7" s="617"/>
      <c r="AS7" t="s">
        <v>774</v>
      </c>
      <c r="AT7" t="s">
        <v>775</v>
      </c>
      <c r="AV7" s="98"/>
      <c r="AW7" s="98" t="s">
        <v>763</v>
      </c>
      <c r="AX7" s="98" t="s">
        <v>764</v>
      </c>
      <c r="AY7" s="306" t="s">
        <v>765</v>
      </c>
      <c r="AZ7" s="98" t="s">
        <v>766</v>
      </c>
      <c r="BA7" s="98" t="s">
        <v>767</v>
      </c>
      <c r="BB7" s="98" t="s">
        <v>768</v>
      </c>
      <c r="BD7" s="368">
        <v>2.8500000000000001E-2</v>
      </c>
    </row>
    <row r="8" spans="1:56" ht="18" thickTop="1" thickBot="1">
      <c r="A8" s="578"/>
      <c r="B8" s="579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29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613"/>
      <c r="AG8" s="614"/>
      <c r="AH8" s="2" t="s">
        <v>3</v>
      </c>
      <c r="AI8" s="608" t="s">
        <v>341</v>
      </c>
      <c r="AJ8" s="609"/>
      <c r="AK8" s="618"/>
      <c r="AL8" s="608" t="s">
        <v>342</v>
      </c>
      <c r="AM8" s="609"/>
      <c r="AN8" s="610"/>
      <c r="AS8" s="97">
        <f>F21</f>
        <v>31679</v>
      </c>
      <c r="AT8">
        <v>2024</v>
      </c>
      <c r="AV8" s="98"/>
      <c r="AW8" s="98"/>
      <c r="AX8" s="369">
        <v>0</v>
      </c>
      <c r="AY8" s="370">
        <v>1</v>
      </c>
      <c r="AZ8" s="369">
        <v>2</v>
      </c>
      <c r="BA8" s="369">
        <v>3</v>
      </c>
      <c r="BB8" s="369">
        <v>4</v>
      </c>
    </row>
    <row r="9" spans="1:56" ht="18" thickTop="1" thickBot="1">
      <c r="A9" s="611" t="s">
        <v>12</v>
      </c>
      <c r="B9" s="612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29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8"/>
      <c r="AG9" s="579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  <c r="AV9" s="98" t="s">
        <v>769</v>
      </c>
      <c r="AW9" s="98">
        <v>100000</v>
      </c>
      <c r="AX9" s="365">
        <v>0.3</v>
      </c>
      <c r="AY9" s="366">
        <v>0.7</v>
      </c>
      <c r="AZ9" s="365">
        <v>0.85</v>
      </c>
      <c r="BA9" s="365">
        <v>0.95</v>
      </c>
      <c r="BB9" s="365">
        <v>1</v>
      </c>
    </row>
    <row r="10" spans="1:56" ht="16.5" customHeight="1" thickTop="1">
      <c r="A10" s="598" t="s">
        <v>13</v>
      </c>
      <c r="B10" s="59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5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611" t="s">
        <v>135</v>
      </c>
      <c r="AG10" s="612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  <c r="AV10" s="98" t="s">
        <v>770</v>
      </c>
      <c r="AW10" s="98">
        <v>50000</v>
      </c>
      <c r="AX10" s="365">
        <v>0.5</v>
      </c>
      <c r="AY10" s="366">
        <v>0.8</v>
      </c>
      <c r="AZ10" s="365">
        <v>0.9</v>
      </c>
      <c r="BA10" s="365">
        <v>1</v>
      </c>
      <c r="BB10" s="365">
        <v>1</v>
      </c>
    </row>
    <row r="11" spans="1:56">
      <c r="A11" s="598" t="s">
        <v>14</v>
      </c>
      <c r="B11" s="59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4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98" t="s">
        <v>136</v>
      </c>
      <c r="AG11" s="59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  <c r="AV11" s="306" t="s">
        <v>771</v>
      </c>
      <c r="AW11" s="306">
        <v>49999</v>
      </c>
      <c r="AX11" s="366">
        <v>0.7</v>
      </c>
      <c r="AY11" s="367">
        <v>0.9</v>
      </c>
      <c r="AZ11" s="366">
        <v>1</v>
      </c>
      <c r="BA11" s="366">
        <v>1</v>
      </c>
      <c r="BB11" s="366">
        <v>1</v>
      </c>
    </row>
    <row r="12" spans="1:56">
      <c r="A12" s="598" t="s">
        <v>15</v>
      </c>
      <c r="B12" s="59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5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98" t="s">
        <v>137</v>
      </c>
      <c r="AG12" s="59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56">
      <c r="A13" s="598" t="s">
        <v>16</v>
      </c>
      <c r="B13" s="59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4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98" t="s">
        <v>139</v>
      </c>
      <c r="AG13" s="59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56">
      <c r="A14" s="598" t="s">
        <v>17</v>
      </c>
      <c r="B14" s="59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5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98" t="s">
        <v>43</v>
      </c>
      <c r="AG14" s="59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56" ht="16.5" customHeight="1">
      <c r="A15" s="190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4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98" t="s">
        <v>141</v>
      </c>
      <c r="AG15" s="59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56">
      <c r="A16" s="189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5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190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89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4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189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30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189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98" t="s">
        <v>24</v>
      </c>
      <c r="B19" s="59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98" t="s">
        <v>25</v>
      </c>
      <c r="B20" s="59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98" t="s">
        <v>144</v>
      </c>
      <c r="AG20" s="59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0" t="s">
        <v>26</v>
      </c>
      <c r="B21" s="601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 t="e">
        <f>#REF!</f>
        <v>#REF!</v>
      </c>
      <c r="AF21" s="598" t="s">
        <v>146</v>
      </c>
      <c r="AG21" s="59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AF22" s="600" t="s">
        <v>26</v>
      </c>
      <c r="AG22" s="601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432</v>
      </c>
      <c r="Q24" s="76"/>
      <c r="S24" t="s">
        <v>245</v>
      </c>
    </row>
    <row r="25" spans="1:40" ht="17.5" thickTop="1">
      <c r="A25" s="576" t="s">
        <v>1</v>
      </c>
      <c r="B25" s="577"/>
      <c r="C25" s="1" t="s">
        <v>2</v>
      </c>
      <c r="D25" s="615" t="s">
        <v>29</v>
      </c>
      <c r="E25" s="616"/>
      <c r="F25" s="616"/>
      <c r="G25" s="616"/>
      <c r="H25" s="616"/>
      <c r="I25" s="617"/>
      <c r="K25" s="576" t="s">
        <v>27</v>
      </c>
      <c r="L25" s="577"/>
      <c r="M25" s="1" t="s">
        <v>2</v>
      </c>
      <c r="N25" s="615" t="s">
        <v>234</v>
      </c>
      <c r="O25" s="616"/>
      <c r="P25" s="616"/>
      <c r="Q25" s="616"/>
      <c r="R25" s="616"/>
      <c r="S25" s="617"/>
    </row>
    <row r="26" spans="1:40">
      <c r="A26" s="613"/>
      <c r="B26" s="614"/>
      <c r="C26" s="2" t="s">
        <v>3</v>
      </c>
      <c r="D26" s="608" t="s">
        <v>30</v>
      </c>
      <c r="E26" s="609"/>
      <c r="F26" s="618"/>
      <c r="G26" s="608" t="s">
        <v>31</v>
      </c>
      <c r="H26" s="609"/>
      <c r="I26" s="610"/>
      <c r="K26" s="613"/>
      <c r="L26" s="614"/>
      <c r="M26" s="2" t="s">
        <v>3</v>
      </c>
      <c r="N26" s="608" t="s">
        <v>30</v>
      </c>
      <c r="O26" s="609"/>
      <c r="P26" s="618"/>
      <c r="Q26" s="608" t="s">
        <v>31</v>
      </c>
      <c r="R26" s="609"/>
      <c r="S26" s="610"/>
      <c r="U26" t="s">
        <v>35</v>
      </c>
      <c r="W26" t="s">
        <v>38</v>
      </c>
    </row>
    <row r="27" spans="1:40" ht="17.5" thickBot="1">
      <c r="A27" s="578"/>
      <c r="B27" s="579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8"/>
      <c r="L27" s="579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</row>
    <row r="28" spans="1:40" ht="17.5" thickTop="1">
      <c r="A28" s="611" t="s">
        <v>12</v>
      </c>
      <c r="B28" s="612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611" t="s">
        <v>135</v>
      </c>
      <c r="L28" s="612"/>
      <c r="M28" s="6">
        <v>53</v>
      </c>
      <c r="N28" s="6">
        <f>AI10/2</f>
        <v>170</v>
      </c>
      <c r="O28" s="6"/>
      <c r="P28" s="6">
        <f>N28+O28</f>
        <v>170</v>
      </c>
      <c r="Q28" s="6">
        <f>AL10/2</f>
        <v>170</v>
      </c>
      <c r="R28" s="6"/>
      <c r="S28" s="6">
        <f>Q28+R28</f>
        <v>170</v>
      </c>
      <c r="V28">
        <v>2029</v>
      </c>
      <c r="W28">
        <v>2.5499999999999998</v>
      </c>
    </row>
    <row r="29" spans="1:40">
      <c r="A29" s="598" t="s">
        <v>13</v>
      </c>
      <c r="B29" s="59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98" t="s">
        <v>136</v>
      </c>
      <c r="L29" s="599"/>
      <c r="M29" s="8">
        <v>15360</v>
      </c>
      <c r="N29" s="9">
        <f t="shared" ref="N29:N33" si="0">AI11/2</f>
        <v>138</v>
      </c>
      <c r="O29" s="8"/>
      <c r="P29" s="8">
        <f t="shared" ref="P29:P39" si="1">N29+O29</f>
        <v>138</v>
      </c>
      <c r="Q29" s="9">
        <f t="shared" ref="Q29:Q33" si="2">AL11/2</f>
        <v>135</v>
      </c>
      <c r="R29" s="8"/>
      <c r="S29" s="11">
        <f t="shared" ref="S29:S39" si="3">Q29+R29</f>
        <v>135</v>
      </c>
      <c r="U29" t="s">
        <v>37</v>
      </c>
      <c r="V29">
        <v>2025</v>
      </c>
      <c r="W29">
        <v>2</v>
      </c>
    </row>
    <row r="30" spans="1:40">
      <c r="A30" s="598" t="s">
        <v>14</v>
      </c>
      <c r="B30" s="59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98" t="s">
        <v>137</v>
      </c>
      <c r="L30" s="599"/>
      <c r="M30" s="8">
        <v>88536</v>
      </c>
      <c r="N30" s="8">
        <f t="shared" si="0"/>
        <v>1028</v>
      </c>
      <c r="O30" s="8"/>
      <c r="P30" s="8">
        <f t="shared" si="1"/>
        <v>1028</v>
      </c>
      <c r="Q30" s="8">
        <f t="shared" si="2"/>
        <v>1011</v>
      </c>
      <c r="R30" s="8"/>
      <c r="S30" s="11">
        <f t="shared" si="3"/>
        <v>1011</v>
      </c>
      <c r="V30">
        <v>2029</v>
      </c>
      <c r="W30">
        <v>2</v>
      </c>
    </row>
    <row r="31" spans="1:40">
      <c r="A31" s="598" t="s">
        <v>15</v>
      </c>
      <c r="B31" s="59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98" t="s">
        <v>139</v>
      </c>
      <c r="L31" s="599"/>
      <c r="M31" s="8">
        <v>835928</v>
      </c>
      <c r="N31" s="8">
        <f t="shared" si="0"/>
        <v>29007</v>
      </c>
      <c r="O31" s="8"/>
      <c r="P31" s="8">
        <f t="shared" si="1"/>
        <v>29007</v>
      </c>
      <c r="Q31" s="8">
        <f t="shared" si="2"/>
        <v>28532</v>
      </c>
      <c r="R31" s="8"/>
      <c r="S31" s="11">
        <f t="shared" si="3"/>
        <v>28532</v>
      </c>
    </row>
    <row r="32" spans="1:40">
      <c r="A32" s="598" t="s">
        <v>16</v>
      </c>
      <c r="B32" s="59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98" t="s">
        <v>43</v>
      </c>
      <c r="L32" s="599"/>
      <c r="M32" s="8">
        <v>114912</v>
      </c>
      <c r="N32" s="8">
        <f t="shared" si="0"/>
        <v>3144</v>
      </c>
      <c r="O32" s="8"/>
      <c r="P32" s="8">
        <f t="shared" si="1"/>
        <v>3144</v>
      </c>
      <c r="Q32" s="8">
        <f t="shared" si="2"/>
        <v>3092</v>
      </c>
      <c r="R32" s="8"/>
      <c r="S32" s="11">
        <f t="shared" si="3"/>
        <v>3092</v>
      </c>
    </row>
    <row r="33" spans="1:159">
      <c r="A33" s="598" t="s">
        <v>17</v>
      </c>
      <c r="B33" s="59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98" t="s">
        <v>141</v>
      </c>
      <c r="L33" s="599"/>
      <c r="M33" s="8">
        <v>265206</v>
      </c>
      <c r="N33" s="8">
        <f t="shared" si="0"/>
        <v>2684</v>
      </c>
      <c r="O33" s="8"/>
      <c r="P33" s="8">
        <f t="shared" si="1"/>
        <v>2684</v>
      </c>
      <c r="Q33" s="8">
        <f t="shared" si="2"/>
        <v>2640</v>
      </c>
      <c r="R33" s="8"/>
      <c r="S33" s="11">
        <f t="shared" si="3"/>
        <v>2640</v>
      </c>
    </row>
    <row r="34" spans="1:159">
      <c r="A34" s="189" t="s">
        <v>19</v>
      </c>
      <c r="B34" s="15" t="s">
        <v>14</v>
      </c>
      <c r="C34" s="8">
        <v>68522</v>
      </c>
      <c r="D34" s="9">
        <v>614</v>
      </c>
      <c r="E34" s="8">
        <v>4451</v>
      </c>
      <c r="F34" s="8">
        <v>5065</v>
      </c>
      <c r="G34" s="9">
        <v>614</v>
      </c>
      <c r="H34" s="8">
        <v>4449</v>
      </c>
      <c r="I34" s="11">
        <v>5063</v>
      </c>
      <c r="J34" s="33"/>
      <c r="K34" s="189" t="s">
        <v>19</v>
      </c>
      <c r="L34" s="15" t="s">
        <v>14</v>
      </c>
      <c r="M34" s="8">
        <v>68522</v>
      </c>
      <c r="N34" s="8">
        <f t="shared" ref="N34:N39" si="4">AI17/2</f>
        <v>796</v>
      </c>
      <c r="O34" s="8"/>
      <c r="P34" s="8">
        <f t="shared" si="1"/>
        <v>796</v>
      </c>
      <c r="Q34" s="8">
        <f t="shared" ref="Q34:Q39" si="5">AL17/2</f>
        <v>783</v>
      </c>
      <c r="R34" s="8"/>
      <c r="S34" s="11">
        <f t="shared" si="3"/>
        <v>783</v>
      </c>
    </row>
    <row r="35" spans="1:159" ht="25">
      <c r="A35" s="189" t="s">
        <v>20</v>
      </c>
      <c r="B35" s="15" t="s">
        <v>13</v>
      </c>
      <c r="C35" s="8">
        <v>68522</v>
      </c>
      <c r="D35" s="9">
        <v>472</v>
      </c>
      <c r="E35" s="8">
        <v>3997</v>
      </c>
      <c r="F35" s="8">
        <v>4469</v>
      </c>
      <c r="G35" s="9">
        <v>472</v>
      </c>
      <c r="H35" s="8">
        <v>3995</v>
      </c>
      <c r="I35" s="11">
        <v>4467</v>
      </c>
      <c r="J35" s="33"/>
      <c r="K35" s="189" t="s">
        <v>20</v>
      </c>
      <c r="L35" s="15" t="s">
        <v>13</v>
      </c>
      <c r="M35" s="8">
        <v>68522</v>
      </c>
      <c r="N35" s="8">
        <f t="shared" si="4"/>
        <v>612</v>
      </c>
      <c r="O35" s="8"/>
      <c r="P35" s="8">
        <f t="shared" si="1"/>
        <v>612</v>
      </c>
      <c r="Q35" s="8">
        <f t="shared" si="5"/>
        <v>602</v>
      </c>
      <c r="R35" s="8"/>
      <c r="S35" s="11">
        <f t="shared" si="3"/>
        <v>602</v>
      </c>
    </row>
    <row r="36" spans="1:159">
      <c r="A36" s="14"/>
      <c r="B36" s="15" t="s">
        <v>23</v>
      </c>
      <c r="C36" s="8">
        <v>58733</v>
      </c>
      <c r="D36" s="8">
        <v>1573</v>
      </c>
      <c r="E36" s="9">
        <v>922</v>
      </c>
      <c r="F36" s="8">
        <v>2495</v>
      </c>
      <c r="G36" s="8">
        <v>1573</v>
      </c>
      <c r="H36" s="9">
        <v>922</v>
      </c>
      <c r="I36" s="11">
        <v>2495</v>
      </c>
      <c r="J36" s="33"/>
      <c r="K36" s="14"/>
      <c r="L36" s="15" t="s">
        <v>23</v>
      </c>
      <c r="M36" s="8">
        <v>58733</v>
      </c>
      <c r="N36" s="8">
        <f t="shared" si="4"/>
        <v>2038</v>
      </c>
      <c r="O36" s="8"/>
      <c r="P36" s="8">
        <f t="shared" si="1"/>
        <v>2038</v>
      </c>
      <c r="Q36" s="8">
        <f t="shared" si="5"/>
        <v>2005</v>
      </c>
      <c r="R36" s="8"/>
      <c r="S36" s="11">
        <f t="shared" si="3"/>
        <v>2005</v>
      </c>
      <c r="EA36" s="32" t="s">
        <v>863</v>
      </c>
    </row>
    <row r="37" spans="1:159">
      <c r="A37" s="598" t="s">
        <v>24</v>
      </c>
      <c r="B37" s="599"/>
      <c r="C37" s="8">
        <v>76980</v>
      </c>
      <c r="D37" s="9">
        <v>842</v>
      </c>
      <c r="E37" s="8">
        <v>2864</v>
      </c>
      <c r="F37" s="8">
        <v>3706</v>
      </c>
      <c r="G37" s="9">
        <v>842</v>
      </c>
      <c r="H37" s="8">
        <v>2863</v>
      </c>
      <c r="I37" s="11">
        <v>3705</v>
      </c>
      <c r="J37" s="33" t="s">
        <v>124</v>
      </c>
      <c r="K37" s="598" t="s">
        <v>144</v>
      </c>
      <c r="L37" s="599"/>
      <c r="M37" s="8">
        <v>76980</v>
      </c>
      <c r="N37" s="8">
        <f t="shared" si="4"/>
        <v>1091</v>
      </c>
      <c r="O37" s="8"/>
      <c r="P37" s="8">
        <f t="shared" si="1"/>
        <v>1091</v>
      </c>
      <c r="Q37" s="8">
        <f t="shared" si="5"/>
        <v>1073</v>
      </c>
      <c r="R37" s="8"/>
      <c r="S37" s="11">
        <f t="shared" si="3"/>
        <v>1073</v>
      </c>
      <c r="Z37" s="403"/>
      <c r="AA37" s="32" t="s">
        <v>851</v>
      </c>
      <c r="DZ37" s="279"/>
      <c r="EA37" s="279" t="s">
        <v>601</v>
      </c>
    </row>
    <row r="38" spans="1:159">
      <c r="A38" s="598" t="s">
        <v>25</v>
      </c>
      <c r="B38" s="599"/>
      <c r="C38" s="8">
        <v>11571</v>
      </c>
      <c r="D38" s="9">
        <v>265</v>
      </c>
      <c r="E38" s="8">
        <v>2250</v>
      </c>
      <c r="F38" s="8">
        <v>2515</v>
      </c>
      <c r="G38" s="9">
        <v>265</v>
      </c>
      <c r="H38" s="8">
        <v>2249</v>
      </c>
      <c r="I38" s="11">
        <v>2514</v>
      </c>
      <c r="J38" s="33" t="s">
        <v>129</v>
      </c>
      <c r="K38" s="598" t="s">
        <v>145</v>
      </c>
      <c r="L38" s="599"/>
      <c r="M38" s="8">
        <v>11571</v>
      </c>
      <c r="N38" s="9">
        <f t="shared" si="4"/>
        <v>344</v>
      </c>
      <c r="O38" s="8"/>
      <c r="P38" s="8">
        <f t="shared" si="1"/>
        <v>344</v>
      </c>
      <c r="Q38" s="9">
        <f t="shared" si="5"/>
        <v>338</v>
      </c>
      <c r="R38" s="8"/>
      <c r="S38" s="11">
        <f t="shared" si="3"/>
        <v>338</v>
      </c>
      <c r="DZ38" s="279" t="s">
        <v>602</v>
      </c>
      <c r="EA38" s="293">
        <v>1</v>
      </c>
    </row>
    <row r="39" spans="1:159" ht="17.5" thickBot="1">
      <c r="A39" s="600" t="s">
        <v>26</v>
      </c>
      <c r="B39" s="601"/>
      <c r="C39" s="16" t="s">
        <v>22</v>
      </c>
      <c r="D39" s="17">
        <v>31679</v>
      </c>
      <c r="E39" s="17">
        <v>35570</v>
      </c>
      <c r="F39" s="17">
        <v>67249</v>
      </c>
      <c r="G39" s="17">
        <v>31679</v>
      </c>
      <c r="H39" s="17">
        <v>35557</v>
      </c>
      <c r="I39" s="18">
        <v>67236</v>
      </c>
      <c r="K39" s="600" t="s">
        <v>26</v>
      </c>
      <c r="L39" s="601"/>
      <c r="M39" s="16" t="s">
        <v>22</v>
      </c>
      <c r="N39" s="17">
        <f t="shared" si="4"/>
        <v>41052</v>
      </c>
      <c r="O39" s="17"/>
      <c r="P39" s="17">
        <f t="shared" si="1"/>
        <v>41052</v>
      </c>
      <c r="Q39" s="17">
        <f t="shared" si="5"/>
        <v>40381</v>
      </c>
      <c r="R39" s="17"/>
      <c r="S39" s="18">
        <f t="shared" si="3"/>
        <v>40381</v>
      </c>
    </row>
    <row r="40" spans="1:159" ht="26" thickTop="1">
      <c r="A40" s="204"/>
      <c r="B40" s="19"/>
      <c r="C40" s="20"/>
      <c r="D40" s="21"/>
      <c r="E40" s="21"/>
      <c r="F40" s="21"/>
      <c r="G40" s="21"/>
      <c r="H40" s="21"/>
      <c r="I40" s="21"/>
      <c r="K40" s="19"/>
      <c r="L40" s="19"/>
      <c r="M40" s="20"/>
      <c r="N40" s="21"/>
      <c r="O40" s="21"/>
      <c r="P40" s="21"/>
      <c r="Q40" s="21"/>
      <c r="R40" s="21"/>
      <c r="S40" s="21"/>
      <c r="CS40" t="s">
        <v>487</v>
      </c>
      <c r="CV40" t="s">
        <v>560</v>
      </c>
    </row>
    <row r="41" spans="1:159" s="227" customFormat="1" ht="25.5">
      <c r="A41" s="285">
        <v>2025</v>
      </c>
      <c r="B41" s="282"/>
      <c r="C41" s="283"/>
      <c r="D41" s="284"/>
      <c r="E41" s="284"/>
      <c r="F41" s="284"/>
      <c r="G41" s="284"/>
      <c r="H41" s="284"/>
      <c r="I41" s="284"/>
      <c r="K41" s="282"/>
      <c r="L41" s="282"/>
      <c r="M41" s="283"/>
      <c r="N41" s="284"/>
      <c r="O41" s="284"/>
      <c r="P41" s="284"/>
      <c r="Q41" s="284"/>
      <c r="R41" s="284"/>
      <c r="S41" s="284"/>
    </row>
    <row r="42" spans="1:159" ht="23.5" thickBot="1">
      <c r="A42" s="32" t="s">
        <v>468</v>
      </c>
      <c r="C42" t="s">
        <v>463</v>
      </c>
      <c r="D42" t="s">
        <v>467</v>
      </c>
      <c r="E42" t="s">
        <v>470</v>
      </c>
      <c r="F42" t="s">
        <v>465</v>
      </c>
      <c r="G42" t="s">
        <v>466</v>
      </c>
      <c r="H42" t="s">
        <v>21</v>
      </c>
      <c r="K42" s="32" t="s">
        <v>471</v>
      </c>
      <c r="CV42" s="32" t="s">
        <v>492</v>
      </c>
      <c r="CY42" t="s">
        <v>478</v>
      </c>
      <c r="CZ42" t="s">
        <v>479</v>
      </c>
      <c r="EC42" s="353" t="s">
        <v>857</v>
      </c>
      <c r="EM42" s="353" t="s">
        <v>827</v>
      </c>
      <c r="EV42" s="353"/>
    </row>
    <row r="43" spans="1:159" ht="17.5" thickBot="1">
      <c r="A43" t="s">
        <v>462</v>
      </c>
      <c r="C43" t="s">
        <v>427</v>
      </c>
      <c r="D43" t="s">
        <v>428</v>
      </c>
      <c r="E43" t="s">
        <v>429</v>
      </c>
      <c r="F43" t="s">
        <v>430</v>
      </c>
      <c r="G43" t="s">
        <v>431</v>
      </c>
      <c r="H43" t="s">
        <v>457</v>
      </c>
      <c r="K43" s="159" t="s">
        <v>482</v>
      </c>
      <c r="L43" s="159"/>
      <c r="M43" s="538" t="s">
        <v>463</v>
      </c>
      <c r="N43" s="539"/>
      <c r="O43" s="539"/>
      <c r="P43" s="539"/>
      <c r="Q43" s="539"/>
      <c r="R43" s="539"/>
      <c r="S43" s="539"/>
      <c r="T43" s="539"/>
      <c r="U43" s="539"/>
      <c r="V43" s="539"/>
      <c r="W43" s="539"/>
      <c r="X43" s="539"/>
      <c r="Y43" s="539"/>
      <c r="Z43" s="540"/>
      <c r="AA43" s="538" t="s">
        <v>467</v>
      </c>
      <c r="AB43" s="539"/>
      <c r="AC43" s="539"/>
      <c r="AD43" s="539"/>
      <c r="AE43" s="539"/>
      <c r="AF43" s="539"/>
      <c r="AG43" s="539"/>
      <c r="AH43" s="539"/>
      <c r="AI43" s="539"/>
      <c r="AJ43" s="539"/>
      <c r="AK43" s="539"/>
      <c r="AL43" s="539"/>
      <c r="AM43" s="539"/>
      <c r="AN43" s="540"/>
      <c r="AO43" s="538" t="s">
        <v>464</v>
      </c>
      <c r="AP43" s="539"/>
      <c r="AQ43" s="539"/>
      <c r="AR43" s="539"/>
      <c r="AS43" s="539"/>
      <c r="AT43" s="539"/>
      <c r="AU43" s="539"/>
      <c r="AV43" s="539"/>
      <c r="AW43" s="539"/>
      <c r="AX43" s="539"/>
      <c r="AY43" s="539"/>
      <c r="AZ43" s="539"/>
      <c r="BA43" s="539"/>
      <c r="BB43" s="540"/>
      <c r="BC43" s="538" t="s">
        <v>465</v>
      </c>
      <c r="BD43" s="539"/>
      <c r="BE43" s="539"/>
      <c r="BF43" s="539"/>
      <c r="BG43" s="539"/>
      <c r="BH43" s="539"/>
      <c r="BI43" s="539"/>
      <c r="BJ43" s="539"/>
      <c r="BK43" s="539"/>
      <c r="BL43" s="539"/>
      <c r="BM43" s="539"/>
      <c r="BN43" s="539"/>
      <c r="BO43" s="539"/>
      <c r="BP43" s="540"/>
      <c r="BQ43" s="538" t="s">
        <v>466</v>
      </c>
      <c r="BR43" s="539"/>
      <c r="BS43" s="539"/>
      <c r="BT43" s="539"/>
      <c r="BU43" s="539"/>
      <c r="BV43" s="539"/>
      <c r="BW43" s="539"/>
      <c r="BX43" s="539"/>
      <c r="BY43" s="539"/>
      <c r="BZ43" s="539"/>
      <c r="CA43" s="539"/>
      <c r="CB43" s="539"/>
      <c r="CC43" s="539"/>
      <c r="CD43" s="540"/>
      <c r="CE43" s="538" t="s">
        <v>21</v>
      </c>
      <c r="CF43" s="539"/>
      <c r="CG43" s="539"/>
      <c r="CH43" s="539"/>
      <c r="CI43" s="539"/>
      <c r="CJ43" s="539"/>
      <c r="CK43" s="539"/>
      <c r="CL43" s="539"/>
      <c r="CM43" s="539"/>
      <c r="CN43" s="539"/>
      <c r="CO43" s="539"/>
      <c r="CP43" s="539"/>
      <c r="CQ43" s="539"/>
      <c r="CR43" s="540"/>
      <c r="CV43" s="263" t="s">
        <v>482</v>
      </c>
      <c r="CW43" s="263"/>
      <c r="CX43" s="541" t="s">
        <v>554</v>
      </c>
      <c r="CY43" s="541"/>
      <c r="CZ43" s="541"/>
      <c r="DA43" s="541"/>
      <c r="DB43" s="542" t="s">
        <v>553</v>
      </c>
      <c r="DC43" s="541"/>
      <c r="DD43" s="541"/>
      <c r="DE43" s="541"/>
      <c r="DF43" s="542" t="s">
        <v>464</v>
      </c>
      <c r="DG43" s="541"/>
      <c r="DH43" s="541"/>
      <c r="DI43" s="541"/>
      <c r="DJ43" s="542" t="s">
        <v>465</v>
      </c>
      <c r="DK43" s="541"/>
      <c r="DL43" s="541"/>
      <c r="DM43" s="541"/>
      <c r="DN43" s="542" t="s">
        <v>466</v>
      </c>
      <c r="DO43" s="541"/>
      <c r="DP43" s="541"/>
      <c r="DQ43" s="541"/>
      <c r="DR43" s="542" t="s">
        <v>21</v>
      </c>
      <c r="DS43" s="541"/>
      <c r="DT43" s="541"/>
      <c r="DU43" s="541"/>
      <c r="DW43" s="278"/>
      <c r="DX43" s="278"/>
      <c r="DY43" s="442" t="s">
        <v>588</v>
      </c>
      <c r="DZ43" s="442"/>
      <c r="EI43" t="s">
        <v>599</v>
      </c>
      <c r="ES43" t="s">
        <v>599</v>
      </c>
    </row>
    <row r="44" spans="1:159" ht="17" customHeight="1">
      <c r="A44" s="199"/>
      <c r="B44" s="199"/>
      <c r="C44" s="202" t="s">
        <v>463</v>
      </c>
      <c r="D44" s="202" t="s">
        <v>467</v>
      </c>
      <c r="E44" s="202" t="s">
        <v>464</v>
      </c>
      <c r="F44" s="202" t="s">
        <v>465</v>
      </c>
      <c r="G44" s="202" t="s">
        <v>466</v>
      </c>
      <c r="H44" s="202" t="s">
        <v>21</v>
      </c>
      <c r="K44" s="159"/>
      <c r="L44" s="159"/>
      <c r="M44" s="211" t="s">
        <v>472</v>
      </c>
      <c r="N44" s="160" t="s">
        <v>156</v>
      </c>
      <c r="O44" s="160" t="s">
        <v>475</v>
      </c>
      <c r="P44" s="160" t="s">
        <v>476</v>
      </c>
      <c r="Q44" s="160" t="s">
        <v>477</v>
      </c>
      <c r="R44" s="160" t="s">
        <v>478</v>
      </c>
      <c r="S44" s="160" t="s">
        <v>479</v>
      </c>
      <c r="T44" s="160" t="s">
        <v>480</v>
      </c>
      <c r="U44" s="160" t="s">
        <v>449</v>
      </c>
      <c r="V44" s="160" t="s">
        <v>157</v>
      </c>
      <c r="W44" s="160" t="s">
        <v>473</v>
      </c>
      <c r="X44" s="160" t="s">
        <v>474</v>
      </c>
      <c r="Y44" s="160" t="s">
        <v>46</v>
      </c>
      <c r="Z44" s="212" t="s">
        <v>11</v>
      </c>
      <c r="AA44" s="211" t="s">
        <v>472</v>
      </c>
      <c r="AB44" s="160" t="s">
        <v>156</v>
      </c>
      <c r="AC44" s="160" t="s">
        <v>475</v>
      </c>
      <c r="AD44" s="160" t="s">
        <v>476</v>
      </c>
      <c r="AE44" s="160" t="s">
        <v>477</v>
      </c>
      <c r="AF44" s="160" t="s">
        <v>478</v>
      </c>
      <c r="AG44" s="160" t="s">
        <v>479</v>
      </c>
      <c r="AH44" s="160" t="s">
        <v>480</v>
      </c>
      <c r="AI44" s="160" t="s">
        <v>449</v>
      </c>
      <c r="AJ44" s="160" t="s">
        <v>157</v>
      </c>
      <c r="AK44" s="160" t="s">
        <v>473</v>
      </c>
      <c r="AL44" s="160" t="s">
        <v>474</v>
      </c>
      <c r="AM44" s="160" t="s">
        <v>46</v>
      </c>
      <c r="AN44" s="212" t="s">
        <v>11</v>
      </c>
      <c r="AO44" s="211" t="s">
        <v>472</v>
      </c>
      <c r="AP44" s="160" t="s">
        <v>156</v>
      </c>
      <c r="AQ44" s="160" t="s">
        <v>475</v>
      </c>
      <c r="AR44" s="160" t="s">
        <v>476</v>
      </c>
      <c r="AS44" s="160" t="s">
        <v>477</v>
      </c>
      <c r="AT44" s="160" t="s">
        <v>478</v>
      </c>
      <c r="AU44" s="160" t="s">
        <v>479</v>
      </c>
      <c r="AV44" s="160" t="s">
        <v>480</v>
      </c>
      <c r="AW44" s="160" t="s">
        <v>449</v>
      </c>
      <c r="AX44" s="160" t="s">
        <v>157</v>
      </c>
      <c r="AY44" s="160" t="s">
        <v>473</v>
      </c>
      <c r="AZ44" s="160" t="s">
        <v>474</v>
      </c>
      <c r="BA44" s="160" t="s">
        <v>46</v>
      </c>
      <c r="BB44" s="212" t="s">
        <v>11</v>
      </c>
      <c r="BC44" s="211" t="s">
        <v>472</v>
      </c>
      <c r="BD44" s="160" t="s">
        <v>156</v>
      </c>
      <c r="BE44" s="160" t="s">
        <v>475</v>
      </c>
      <c r="BF44" s="160" t="s">
        <v>476</v>
      </c>
      <c r="BG44" s="160" t="s">
        <v>477</v>
      </c>
      <c r="BH44" s="160" t="s">
        <v>478</v>
      </c>
      <c r="BI44" s="160" t="s">
        <v>479</v>
      </c>
      <c r="BJ44" s="160" t="s">
        <v>480</v>
      </c>
      <c r="BK44" s="160" t="s">
        <v>449</v>
      </c>
      <c r="BL44" s="160" t="s">
        <v>157</v>
      </c>
      <c r="BM44" s="160" t="s">
        <v>473</v>
      </c>
      <c r="BN44" s="160" t="s">
        <v>474</v>
      </c>
      <c r="BO44" s="160" t="s">
        <v>46</v>
      </c>
      <c r="BP44" s="212" t="s">
        <v>11</v>
      </c>
      <c r="BQ44" s="211" t="s">
        <v>472</v>
      </c>
      <c r="BR44" s="160" t="s">
        <v>156</v>
      </c>
      <c r="BS44" s="160" t="s">
        <v>475</v>
      </c>
      <c r="BT44" s="160" t="s">
        <v>476</v>
      </c>
      <c r="BU44" s="160" t="s">
        <v>477</v>
      </c>
      <c r="BV44" s="160" t="s">
        <v>478</v>
      </c>
      <c r="BW44" s="160" t="s">
        <v>479</v>
      </c>
      <c r="BX44" s="160" t="s">
        <v>480</v>
      </c>
      <c r="BY44" s="160" t="s">
        <v>449</v>
      </c>
      <c r="BZ44" s="160" t="s">
        <v>157</v>
      </c>
      <c r="CA44" s="160" t="s">
        <v>473</v>
      </c>
      <c r="CB44" s="160" t="s">
        <v>474</v>
      </c>
      <c r="CC44" s="160" t="s">
        <v>46</v>
      </c>
      <c r="CD44" s="212" t="s">
        <v>11</v>
      </c>
      <c r="CE44" s="211" t="s">
        <v>472</v>
      </c>
      <c r="CF44" s="160" t="s">
        <v>156</v>
      </c>
      <c r="CG44" s="160" t="s">
        <v>475</v>
      </c>
      <c r="CH44" s="160" t="s">
        <v>476</v>
      </c>
      <c r="CI44" s="160" t="s">
        <v>477</v>
      </c>
      <c r="CJ44" s="160" t="s">
        <v>478</v>
      </c>
      <c r="CK44" s="160" t="s">
        <v>479</v>
      </c>
      <c r="CL44" s="160" t="s">
        <v>480</v>
      </c>
      <c r="CM44" s="160" t="s">
        <v>449</v>
      </c>
      <c r="CN44" s="160" t="s">
        <v>157</v>
      </c>
      <c r="CO44" s="160" t="s">
        <v>473</v>
      </c>
      <c r="CP44" s="160" t="s">
        <v>474</v>
      </c>
      <c r="CQ44" s="160" t="s">
        <v>46</v>
      </c>
      <c r="CR44" s="212" t="s">
        <v>11</v>
      </c>
      <c r="CV44" s="263"/>
      <c r="CW44" s="263"/>
      <c r="CX44" s="264" t="s">
        <v>156</v>
      </c>
      <c r="CY44" s="264" t="s">
        <v>478</v>
      </c>
      <c r="CZ44" s="264" t="s">
        <v>479</v>
      </c>
      <c r="DA44" s="264" t="s">
        <v>157</v>
      </c>
      <c r="DB44" s="264" t="s">
        <v>156</v>
      </c>
      <c r="DC44" s="264" t="s">
        <v>478</v>
      </c>
      <c r="DD44" s="264" t="s">
        <v>479</v>
      </c>
      <c r="DE44" s="264" t="s">
        <v>157</v>
      </c>
      <c r="DF44" s="264" t="s">
        <v>156</v>
      </c>
      <c r="DG44" s="264" t="s">
        <v>478</v>
      </c>
      <c r="DH44" s="264" t="s">
        <v>479</v>
      </c>
      <c r="DI44" s="264" t="s">
        <v>157</v>
      </c>
      <c r="DJ44" s="264" t="s">
        <v>156</v>
      </c>
      <c r="DK44" s="264" t="s">
        <v>478</v>
      </c>
      <c r="DL44" s="264" t="s">
        <v>479</v>
      </c>
      <c r="DM44" s="264" t="s">
        <v>157</v>
      </c>
      <c r="DN44" s="264" t="s">
        <v>156</v>
      </c>
      <c r="DO44" s="264" t="s">
        <v>478</v>
      </c>
      <c r="DP44" s="264" t="s">
        <v>479</v>
      </c>
      <c r="DQ44" s="264" t="s">
        <v>157</v>
      </c>
      <c r="DR44" s="264" t="s">
        <v>156</v>
      </c>
      <c r="DS44" s="264" t="s">
        <v>478</v>
      </c>
      <c r="DT44" s="264" t="s">
        <v>479</v>
      </c>
      <c r="DU44" s="264" t="s">
        <v>157</v>
      </c>
      <c r="DW44" s="278"/>
      <c r="DX44" s="278"/>
      <c r="DY44" s="280" t="s">
        <v>586</v>
      </c>
      <c r="DZ44" s="280" t="s">
        <v>587</v>
      </c>
      <c r="EC44" s="412" t="s">
        <v>564</v>
      </c>
      <c r="ED44" s="412" t="s">
        <v>565</v>
      </c>
      <c r="EE44" s="412" t="s">
        <v>566</v>
      </c>
      <c r="EF44" s="412" t="s">
        <v>562</v>
      </c>
      <c r="EG44" s="417" t="s">
        <v>597</v>
      </c>
      <c r="EH44" s="418" t="s">
        <v>585</v>
      </c>
      <c r="EI44" s="419" t="s">
        <v>259</v>
      </c>
      <c r="EJ44" s="377" t="s">
        <v>821</v>
      </c>
      <c r="EM44" s="278" t="s">
        <v>564</v>
      </c>
      <c r="EN44" s="278" t="s">
        <v>565</v>
      </c>
      <c r="EO44" s="278" t="s">
        <v>566</v>
      </c>
      <c r="EP44" s="278" t="s">
        <v>562</v>
      </c>
      <c r="EQ44" s="286" t="s">
        <v>597</v>
      </c>
      <c r="ER44" s="287" t="s">
        <v>585</v>
      </c>
      <c r="ES44" s="288" t="s">
        <v>604</v>
      </c>
      <c r="ET44" s="377" t="s">
        <v>821</v>
      </c>
      <c r="EV44" s="34"/>
      <c r="EW44" s="34"/>
      <c r="EX44" s="34"/>
      <c r="EY44" s="34"/>
      <c r="EZ44" s="375"/>
      <c r="FA44" s="376"/>
      <c r="FB44" s="377"/>
      <c r="FC44" s="377"/>
    </row>
    <row r="45" spans="1:159" ht="16.5" customHeight="1">
      <c r="A45" s="205"/>
      <c r="B45" s="205" t="s">
        <v>12</v>
      </c>
      <c r="C45" s="400">
        <f>'A.일산테크노밸리(859991)_수정'!$P28*KTDB_TripDistribution_2035!L$12 * (1 + KTDB_발생량도착량_증가율!$D$7*5) * (1 + KTDB_발생량도착량_증가율!$E$7*5)</f>
        <v>18.465378025326192</v>
      </c>
      <c r="D45" s="400">
        <f>'A.일산테크노밸리(859991)_수정'!$P28*KTDB_TripDistribution_2035!M$12 * (1 + KTDB_발생량도착량_증가율!$D$7*5) * (1 + KTDB_발생량도착량_증가율!$E$7*5)</f>
        <v>143.58924195889685</v>
      </c>
      <c r="E45" s="400">
        <f>'A.일산테크노밸리(859991)_수정'!$P28*KTDB_TripDistribution_2035!N$12 * (1 + KTDB_발생량도착량_증가율!$D$7*5) * (1 + KTDB_발생량도착량_증가율!$E$7*5)</f>
        <v>6.3646438512282719</v>
      </c>
      <c r="F45" s="400">
        <f>'A.일산테크노밸리(859991)_수정'!$P28*KTDB_TripDistribution_2035!O$12 * (1 + KTDB_발생량도착량_증가율!$D$7*5) * (1 + KTDB_발생량도착량_증가율!$E$7*5)</f>
        <v>1.7260051121974904E-2</v>
      </c>
      <c r="G45" s="400">
        <f>'A.일산테크노밸리(859991)_수정'!$P28*KTDB_TripDistribution_2035!P$12 * (1 + KTDB_발생량도착량_증가율!$D$7*5) * (1 + KTDB_발생량도착량_증가율!$E$7*5)</f>
        <v>4.8903478178929052E-2</v>
      </c>
      <c r="H45" s="400">
        <f>'A.일산테크노밸리(859991)_수정'!$P28*KTDB_TripDistribution_2035!Q$12 * (1 + KTDB_발생량도착량_증가율!$D$7*5) * (1 + KTDB_발생량도착량_증가율!$E$7*5)</f>
        <v>168.48542736475221</v>
      </c>
      <c r="J45" s="230">
        <f t="shared" ref="J45:J56" si="6">CR45</f>
        <v>168.48542736475224</v>
      </c>
      <c r="K45" s="206"/>
      <c r="L45" s="209" t="s">
        <v>12</v>
      </c>
      <c r="M45" s="213">
        <f>INDEX($A$44:$H$56,MATCH($L45,$B$44:$B$56,0),MATCH($M$43,$A$44:$H$44,0))*고양시_Modal_split!C$3 * 0.01</f>
        <v>5.1703058470913332E-2</v>
      </c>
      <c r="N45" s="207">
        <f>INDEX($A$44:$H$56,MATCH($L45,$B$44:$B$56,0),MATCH($M$43,$A$44:$H$44,0))*고양시_Modal_split!D$3 * 0.01</f>
        <v>8.6842672853109075</v>
      </c>
      <c r="O45" s="207">
        <f>INDEX($A$44:$H$56,MATCH($L45,$B$44:$B$56,0),MATCH($M$43,$A$44:$H$44,0))*고양시_Modal_split!E$3 * 0.01</f>
        <v>1.0506800096410602</v>
      </c>
      <c r="P45" s="207">
        <f>INDEX($A$44:$H$56,MATCH($L45,$B$44:$B$56,0),MATCH($M$43,$A$44:$H$44,0))*고양시_Modal_split!F$3 * 0.01</f>
        <v>1.6932751649224118</v>
      </c>
      <c r="Q45" s="207">
        <f>INDEX($A$44:$H$56,MATCH($L45,$B$44:$B$56,0),MATCH($M$43,$A$44:$H$44,0))*고양시_Modal_split!G$3 * 0.01</f>
        <v>0.16988147783300098</v>
      </c>
      <c r="R45" s="207">
        <f>INDEX($A$44:$H$56,MATCH($L45,$B$44:$B$56,0),MATCH($M$43,$A$44:$H$44,0))*고양시_Modal_split!H$3 * 0.01</f>
        <v>1.8465378025326192E-3</v>
      </c>
      <c r="S45" s="207">
        <f>INDEX($A$44:$H$56,MATCH($L45,$B$44:$B$56,0),MATCH($M$43,$A$44:$H$44,0))*고양시_Modal_split!I$3 * 0.01</f>
        <v>0.51333750910406817</v>
      </c>
      <c r="T45" s="207">
        <f>INDEX($A$44:$H$56,MATCH($L45,$B$44:$B$56,0),MATCH($M$43,$A$44:$H$44,0))*고양시_Modal_split!J$3 * 0.01</f>
        <v>5.6208610709092932</v>
      </c>
      <c r="U45" s="207">
        <f>INDEX($A$44:$H$56,MATCH($L45,$B$44:$B$56,0),MATCH($M$43,$A$44:$H$44,0))*고양시_Modal_split!K$3 * 0.01</f>
        <v>2.7698067037989289E-2</v>
      </c>
      <c r="V45" s="207">
        <f>INDEX($A$44:$H$56,MATCH($L45,$B$44:$B$56,0),MATCH($M$43,$A$44:$H$44,0))*고양시_Modal_split!L$3 * 0.01</f>
        <v>0.55765441636485102</v>
      </c>
      <c r="W45" s="207">
        <f>INDEX($A$44:$H$56,MATCH($L45,$B$44:$B$56,0),MATCH($M$43,$A$44:$H$44,0))*고양시_Modal_split!M$3 * 0.01</f>
        <v>4.2470369458250244E-2</v>
      </c>
      <c r="X45" s="207">
        <f>INDEX($A$44:$H$56,MATCH($L45,$B$44:$B$56,0),MATCH($M$43,$A$44:$H$44,0))*고양시_Modal_split!N$3 * 0.01</f>
        <v>1.8465378025326194E-2</v>
      </c>
      <c r="Y45" s="207">
        <f>INDEX($A$44:$H$56,MATCH($L45,$B$44:$B$56,0),MATCH($M$43,$A$44:$H$44,0))*고양시_Modal_split!O$3 * 0.01</f>
        <v>3.3237680445587142E-2</v>
      </c>
      <c r="Z45" s="214">
        <f>INDEX($A$44:$H$56,MATCH($L45,$B$44:$B$56,0),MATCH($M$43,$A$44:$H$44,0))*고양시_Modal_split!P$3 * 0.01</f>
        <v>18.465378025326192</v>
      </c>
      <c r="AA45" s="213">
        <f>INDEX($A$44:$H$56,MATCH($L45,$B$44:$B$56,0),MATCH($AA$43,$A$44:$H$44,0))*고양시_Modal_split!C$4 * 0.01</f>
        <v>43.708565252288203</v>
      </c>
      <c r="AB45" s="207">
        <f>INDEX($A$44:$H$56,MATCH($L45,$B$44:$B$56,0),MATCH($AA$43,$A$44:$H$44,0))*고양시_Modal_split!D$4 * 0.01</f>
        <v>46.049069896218214</v>
      </c>
      <c r="AC45" s="207">
        <f>INDEX($A$44:$H$56,MATCH($L45,$B$44:$B$56,0),MATCH($AA$43,$A$44:$H$44,0))*고양시_Modal_split!E$4 * 0.01</f>
        <v>11.156884100206288</v>
      </c>
      <c r="AD45" s="207">
        <f>INDEX($A$44:$H$56,MATCH($L45,$B$44:$B$56,0),MATCH($AA$43,$A$44:$H$44,0))*고양시_Modal_split!F$4 * 0.01</f>
        <v>1.36409779860952</v>
      </c>
      <c r="AE45" s="207">
        <f>INDEX($A$44:$H$56,MATCH($L45,$B$44:$B$56,0),MATCH($AA$43,$A$44:$H$44,0))*고양시_Modal_split!G$4 * 0.01</f>
        <v>16.81430023338682</v>
      </c>
      <c r="AF45" s="207">
        <f>INDEX($A$44:$H$56,MATCH($L45,$B$44:$B$56,0),MATCH($AA$43,$A$44:$H$44,0))*고양시_Modal_split!H$4 * 0.01</f>
        <v>0</v>
      </c>
      <c r="AG45" s="207">
        <f>INDEX($A$44:$H$56,MATCH($L45,$B$44:$B$56,0),MATCH($AA$43,$A$44:$H$44,0))*고양시_Modal_split!I$4 * 0.01</f>
        <v>4.9969056201696098</v>
      </c>
      <c r="AH45" s="207">
        <f>INDEX($A$44:$H$56,MATCH($L45,$B$44:$B$56,0),MATCH($AA$43,$A$44:$H$44,0))*고양시_Modal_split!J$4 * 0.01</f>
        <v>6.7630532962640419</v>
      </c>
      <c r="AI45" s="207">
        <f>INDEX($A$44:$H$56,MATCH($L45,$B$44:$B$56,0),MATCH($AA$43,$A$44:$H$44,0))*고양시_Modal_split!K$4 * 0.01</f>
        <v>0</v>
      </c>
      <c r="AJ45" s="207">
        <f>INDEX($A$44:$H$56,MATCH($L45,$B$44:$B$56,0),MATCH($AA$43,$A$44:$H$44,0))*고양시_Modal_split!L$4 * 0.01</f>
        <v>6.6338229785010343</v>
      </c>
      <c r="AK45" s="207">
        <f>INDEX($A$44:$H$56,MATCH($L45,$B$44:$B$56,0),MATCH($AA$43,$A$44:$H$44,0))*고양시_Modal_split!M$4 * 0.01</f>
        <v>0.96204792112460891</v>
      </c>
      <c r="AL45" s="207">
        <f>INDEX($A$44:$H$56,MATCH($L45,$B$44:$B$56,0),MATCH($AA$43,$A$44:$H$44,0))*고양시_Modal_split!N$4 * 0.01</f>
        <v>3.5897310489724212</v>
      </c>
      <c r="AM45" s="207">
        <f>INDEX($A$44:$H$56,MATCH($L45,$B$44:$B$56,0),MATCH($AA$43,$A$44:$H$44,0))*고양시_Modal_split!O$4 * 0.01</f>
        <v>1.5507638131560861</v>
      </c>
      <c r="AN45" s="214">
        <f>INDEX($A$44:$H$56,MATCH($L45,$B$44:$B$56,0),MATCH($AA$43,$A$44:$H$44,0))*고양시_Modal_split!P$4 * 0.01</f>
        <v>143.58924195889685</v>
      </c>
      <c r="AO45" s="213">
        <f>INDEX($A$44:$H$56,MATCH($L45,$B$44:$B$56,0),MATCH($AO$43,$A$44:$H$44,0))*고양시_Modal_split!C$5 * 0.01</f>
        <v>3.8187863107369629E-3</v>
      </c>
      <c r="AP45" s="207">
        <f>INDEX($A$44:$H$56,MATCH($L45,$B$44:$B$56,0),MATCH($AO$43,$A$44:$H$44,0))*고양시_Modal_split!D$5 * 0.01</f>
        <v>4.6640110141800779</v>
      </c>
      <c r="AQ45" s="207">
        <f>INDEX($A$44:$H$56,MATCH($L45,$B$44:$B$56,0),MATCH($AO$43,$A$44:$H$44,0))*고양시_Modal_split!E$5 * 0.01</f>
        <v>0.62691741934598477</v>
      </c>
      <c r="AR45" s="207">
        <f>INDEX($A$44:$H$56,MATCH($L45,$B$44:$B$56,0),MATCH($AO$43,$A$44:$H$44,0))*고양시_Modal_split!F$5 * 0.01</f>
        <v>0.13365752087579372</v>
      </c>
      <c r="AS45" s="207">
        <f>INDEX($A$44:$H$56,MATCH($L45,$B$44:$B$56,0),MATCH($AO$43,$A$44:$H$44,0))*고양시_Modal_split!G$5 * 0.01</f>
        <v>4.1370185032983765E-2</v>
      </c>
      <c r="AT45" s="207">
        <f>INDEX($A$44:$H$56,MATCH($L45,$B$44:$B$56,0),MATCH($AO$43,$A$44:$H$44,0))*고양시_Modal_split!H$5 * 0.01</f>
        <v>4.4552506958597899E-3</v>
      </c>
      <c r="AU45" s="207">
        <f>INDEX($A$44:$H$56,MATCH($L45,$B$44:$B$56,0),MATCH($AO$43,$A$44:$H$44,0))*고양시_Modal_split!I$5 * 0.01</f>
        <v>0.17630063467902315</v>
      </c>
      <c r="AV45" s="207">
        <f>INDEX($A$44:$H$56,MATCH($L45,$B$44:$B$56,0),MATCH($AO$43,$A$44:$H$44,0))*고양시_Modal_split!J$5 * 0.01</f>
        <v>0.3990631694720127</v>
      </c>
      <c r="AW45" s="207">
        <f>INDEX($A$44:$H$56,MATCH($L45,$B$44:$B$56,0),MATCH($AO$43,$A$44:$H$44,0))*고양시_Modal_split!K$5 * 0.01</f>
        <v>1.2729287702456544E-3</v>
      </c>
      <c r="AX45" s="207">
        <f>INDEX($A$44:$H$56,MATCH($L45,$B$44:$B$56,0),MATCH($AO$43,$A$44:$H$44,0))*고양시_Modal_split!L$5 * 0.01</f>
        <v>0.16229841820632093</v>
      </c>
      <c r="AY45" s="207">
        <f>INDEX($A$44:$H$56,MATCH($L45,$B$44:$B$56,0),MATCH($AO$43,$A$44:$H$44,0))*고양시_Modal_split!M$5 * 0.01</f>
        <v>4.2643113803229424E-2</v>
      </c>
      <c r="AZ45" s="207">
        <f>INDEX($A$44:$H$56,MATCH($L45,$B$44:$B$56,0),MATCH($AO$43,$A$44:$H$44,0))*고양시_Modal_split!N$5 * 0.01</f>
        <v>1.0819894547088061E-2</v>
      </c>
      <c r="BA45" s="207">
        <f>INDEX($A$44:$H$56,MATCH($L45,$B$44:$B$56,0),MATCH($AO$43,$A$44:$H$44,0))*고양시_Modal_split!O$5 * 0.01</f>
        <v>9.8015515308915391E-2</v>
      </c>
      <c r="BB45" s="214">
        <f>INDEX($A$44:$H$56,MATCH($L45,$B$44:$B$56,0),MATCH($AO$43,$A$44:$H$44,0))*고양시_Modal_split!P$5 * 0.01</f>
        <v>6.3646438512282719</v>
      </c>
      <c r="BC45" s="213">
        <f>INDEX($A$44:$H$56,MATCH($L45,$B$44:$B$56,0),MATCH($BC$43,$A$44:$H$44,0))*고양시_Modal_split!C$6 * 0.01</f>
        <v>0</v>
      </c>
      <c r="BD45" s="207">
        <f>INDEX($A$44:$H$56,MATCH($L45,$B$44:$B$56,0),MATCH($BC$43,$A$44:$H$44,0))*고양시_Modal_split!D$6 * 0.01</f>
        <v>1.4293048334107416E-2</v>
      </c>
      <c r="BE45" s="207">
        <f>INDEX($A$44:$H$56,MATCH($L45,$B$44:$B$56,0),MATCH($BC$43,$A$44:$H$44,0))*고양시_Modal_split!E$6 * 0.01</f>
        <v>7.4218219824492092E-5</v>
      </c>
      <c r="BF45" s="207">
        <f>INDEX($A$44:$H$56,MATCH($L45,$B$44:$B$56,0),MATCH($BC$43,$A$44:$H$44,0))*고양시_Modal_split!F$6 * 0.01</f>
        <v>2.1057262368809384E-4</v>
      </c>
      <c r="BG45" s="207">
        <f>INDEX($A$44:$H$56,MATCH($L45,$B$44:$B$56,0),MATCH($BC$43,$A$44:$H$44,0))*고양시_Modal_split!G$6 * 0.01</f>
        <v>0</v>
      </c>
      <c r="BH45" s="207">
        <f>INDEX($A$44:$H$56,MATCH($L45,$B$44:$B$56,0),MATCH($BC$43,$A$44:$H$44,0))*고양시_Modal_split!H$6 * 0.01</f>
        <v>9.1650871457686742E-4</v>
      </c>
      <c r="BI45" s="207">
        <f>INDEX($A$44:$H$56,MATCH($L45,$B$44:$B$56,0),MATCH($BC$43,$A$44:$H$44,0))*고양시_Modal_split!I$6 * 0.01</f>
        <v>6.1100580971791161E-4</v>
      </c>
      <c r="BJ45" s="207">
        <f>INDEX($A$44:$H$56,MATCH($L45,$B$44:$B$56,0),MATCH($BC$43,$A$44:$H$44,0))*고양시_Modal_split!J$6 * 0.01</f>
        <v>8.5264652542556025E-4</v>
      </c>
      <c r="BK45" s="207">
        <f>INDEX($A$44:$H$56,MATCH($L45,$B$44:$B$56,0),MATCH($BC$43,$A$44:$H$44,0))*고양시_Modal_split!K$6 * 0.01</f>
        <v>0</v>
      </c>
      <c r="BL45" s="207">
        <f>INDEX($A$44:$H$56,MATCH($L45,$B$44:$B$56,0),MATCH($BC$43,$A$44:$H$44,0))*고양시_Modal_split!L$6 * 0.01</f>
        <v>1.3117638852700928E-4</v>
      </c>
      <c r="BM45" s="207">
        <f>INDEX($A$44:$H$56,MATCH($L45,$B$44:$B$56,0),MATCH($BC$43,$A$44:$H$44,0))*고양시_Modal_split!M$6 * 0.01</f>
        <v>1.5706646520997162E-4</v>
      </c>
      <c r="BN45" s="207">
        <f>INDEX($A$44:$H$56,MATCH($L45,$B$44:$B$56,0),MATCH($BC$43,$A$44:$H$44,0))*고양시_Modal_split!N$6 * 0.01</f>
        <v>0</v>
      </c>
      <c r="BO45" s="207">
        <f>INDEX($A$44:$H$56,MATCH($L45,$B$44:$B$56,0),MATCH($BC$43,$A$44:$H$44,0))*고양시_Modal_split!O$6 * 0.01</f>
        <v>1.3808040897579923E-5</v>
      </c>
      <c r="BP45" s="214">
        <f>INDEX($A$44:$H$56,MATCH($L45,$B$44:$B$56,0),MATCH($BC$43,$A$44:$H$44,0))*고양시_Modal_split!P$6 * 0.01</f>
        <v>1.7260051121974904E-2</v>
      </c>
      <c r="BQ45" s="213">
        <f>INDEX($A$44:$H$56,MATCH($L45,$B$44:$B$56,0),MATCH($BQ$43,$A$44:$H$44,0))*고양시_Modal_split!C$7 * 0.01</f>
        <v>0</v>
      </c>
      <c r="BR45" s="207">
        <f>INDEX($A$44:$H$56,MATCH($L45,$B$44:$B$56,0),MATCH($BQ$43,$A$44:$H$44,0))*고양시_Modal_split!D$7 * 0.01</f>
        <v>2.9968051428047721E-2</v>
      </c>
      <c r="BS45" s="207">
        <f>INDEX($A$44:$H$56,MATCH($L45,$B$44:$B$56,0),MATCH($BQ$43,$A$44:$H$44,0))*고양시_Modal_split!E$7 * 0.01</f>
        <v>1.4622139975499786E-3</v>
      </c>
      <c r="BT45" s="207">
        <f>INDEX($A$44:$H$56,MATCH($L45,$B$44:$B$56,0),MATCH($BQ$43,$A$44:$H$44,0))*고양시_Modal_split!F$7 * 0.01</f>
        <v>4.8903478178929048E-4</v>
      </c>
      <c r="BU45" s="207">
        <f>INDEX($A$44:$H$56,MATCH($L45,$B$44:$B$56,0),MATCH($BQ$43,$A$44:$H$44,0))*고양시_Modal_split!G$7 * 0.01</f>
        <v>2.0539460835150201E-4</v>
      </c>
      <c r="BV45" s="207">
        <f>INDEX($A$44:$H$56,MATCH($L45,$B$44:$B$56,0),MATCH($BQ$43,$A$44:$H$44,0))*고양시_Modal_split!H$7 * 0.01</f>
        <v>2.7337044302021339E-3</v>
      </c>
      <c r="BW45" s="207">
        <f>INDEX($A$44:$H$56,MATCH($L45,$B$44:$B$56,0),MATCH($BQ$43,$A$44:$H$44,0))*고양시_Modal_split!I$7 * 0.01</f>
        <v>9.130279376006056E-3</v>
      </c>
      <c r="BX45" s="207">
        <f>INDEX($A$44:$H$56,MATCH($L45,$B$44:$B$56,0),MATCH($BQ$43,$A$44:$H$44,0))*고양시_Modal_split!J$7 * 0.01</f>
        <v>9.7806956357858091E-6</v>
      </c>
      <c r="BY45" s="207">
        <f>INDEX($A$44:$H$56,MATCH($L45,$B$44:$B$56,0),MATCH($BQ$43,$A$44:$H$44,0))*고양시_Modal_split!K$7 * 0.01</f>
        <v>3.7655678197775371E-3</v>
      </c>
      <c r="BZ45" s="207">
        <f>INDEX($A$44:$H$56,MATCH($L45,$B$44:$B$56,0),MATCH($BQ$43,$A$44:$H$44,0))*고양시_Modal_split!L$7 * 0.01</f>
        <v>3.4232434725250332E-5</v>
      </c>
      <c r="CA45" s="207">
        <f>INDEX($A$44:$H$56,MATCH($L45,$B$44:$B$56,0),MATCH($BQ$43,$A$44:$H$44,0))*고양시_Modal_split!M$7 * 0.01</f>
        <v>9.1449504194597337E-4</v>
      </c>
      <c r="CB45" s="207">
        <f>INDEX($A$44:$H$56,MATCH($L45,$B$44:$B$56,0),MATCH($BQ$43,$A$44:$H$44,0))*고양시_Modal_split!N$7 * 0.01</f>
        <v>1.9072356489782327E-4</v>
      </c>
      <c r="CC45" s="207">
        <f>INDEX($A$44:$H$56,MATCH($L45,$B$44:$B$56,0),MATCH($BQ$43,$A$44:$H$44,0))*고양시_Modal_split!O$7 * 0.01</f>
        <v>0</v>
      </c>
      <c r="CD45" s="214">
        <f>INDEX($A$44:$H$56,MATCH($L45,$B$44:$B$56,0),MATCH($BQ$43,$A$44:$H$44,0))*고양시_Modal_split!P$7 * 0.01</f>
        <v>4.8903478178929059E-2</v>
      </c>
      <c r="CE45" s="218">
        <f>M45+AA45+AO45+BC45+BQ45</f>
        <v>43.764087097069854</v>
      </c>
      <c r="CF45" s="208">
        <f t="shared" ref="CF45:CF56" si="7">N45+AB45+AP45+BD45+BR45</f>
        <v>59.441609295471359</v>
      </c>
      <c r="CG45" s="208">
        <f t="shared" ref="CG45:CG56" si="8">O45+AC45+AQ45+BE45+BS45</f>
        <v>12.836017961410706</v>
      </c>
      <c r="CH45" s="208">
        <f t="shared" ref="CH45:CH56" si="9">P45+AD45+AR45+BF45+BT45</f>
        <v>3.1917300918132026</v>
      </c>
      <c r="CI45" s="208">
        <f t="shared" ref="CI45:CI56" si="10">Q45+AE45+AS45+BG45+BU45</f>
        <v>17.025757290861158</v>
      </c>
      <c r="CJ45" s="208">
        <f t="shared" ref="CJ45:CJ56" si="11">R45+AF45+AT45+BH45+BV45</f>
        <v>9.9520016431714105E-3</v>
      </c>
      <c r="CK45" s="208">
        <f t="shared" ref="CK45:CK56" si="12">S45+AG45+AU45+BI45+BW45</f>
        <v>5.6962850491384254</v>
      </c>
      <c r="CL45" s="208">
        <f t="shared" ref="CL45:CL56" si="13">T45+AH45+AV45+BJ45+BX45</f>
        <v>12.783839963866411</v>
      </c>
      <c r="CM45" s="208">
        <f t="shared" ref="CM45:CM56" si="14">U45+AI45+AW45+BK45+BY45</f>
        <v>3.2736563628012479E-2</v>
      </c>
      <c r="CN45" s="208">
        <f t="shared" ref="CN45:CN56" si="15">V45+AJ45+AX45+BL45+BZ45</f>
        <v>7.3539412218954592</v>
      </c>
      <c r="CO45" s="208">
        <f t="shared" ref="CO45:CO56" si="16">W45+AK45+AY45+BM45+CA45</f>
        <v>1.0482329658932446</v>
      </c>
      <c r="CP45" s="208">
        <f t="shared" ref="CP45:CP56" si="17">X45+AL45+AZ45+BN45+CB45</f>
        <v>3.6192070451097331</v>
      </c>
      <c r="CQ45" s="208">
        <f t="shared" ref="CQ45:CQ56" si="18">Y45+AM45+BA45+BO45+CC45</f>
        <v>1.6820308169514864</v>
      </c>
      <c r="CR45" s="219">
        <f t="shared" ref="CR45:CR56" si="19">Z45+AN45+BB45+BP45+CD45</f>
        <v>168.48542736475224</v>
      </c>
      <c r="CS45" s="225">
        <f>H45-CR45</f>
        <v>0</v>
      </c>
      <c r="CV45" s="265"/>
      <c r="CW45" s="266" t="s">
        <v>12</v>
      </c>
      <c r="CX45" s="267">
        <f>INDEX($M$43:$Z$56,MATCH($CW45,$L$43:$L$56,0),MATCH(CX$44,$M$44:$Z$44,0))/INDEX(고양시_재차인원!$D$4:$H$35,MATCH("고양시",고양시_재차인원!$B$4:$B$35,0),MATCH('A.일산테크노밸리(859991)_수정'!$CX$43,고양시_재차인원!$D$4:$H$4,0))</f>
        <v>7.7538100761704527</v>
      </c>
      <c r="CY45" s="267">
        <f>INDEX($M$43:$Z$56,MATCH($CW45,$L$43:$L$56,0),MATCH(CY$44,$M$44:$Z$44,0))/INDEX(고양시_재차인원!$K$4:$O$20,MATCH("경기도",고양시_재차인원!$K$4:$K$20,0),MATCH('A.일산테크노밸리(859991)_수정'!CY$44,고양시_재차인원!$K$4:$O$4,0))</f>
        <v>6.4138166117840202E-5</v>
      </c>
      <c r="CZ45" s="267">
        <f>INDEX($M$43:$Z$56,MATCH($CW45,$L$43:$L$56,0),MATCH(CZ$44,$M$44:$Z$44,0))/INDEX(고양시_재차인원!$K$4:$O$20,MATCH("경기도",고양시_재차인원!$K$4:$K$20,0),MATCH('A.일산테크노밸리(859991)_수정'!CZ$44,고양시_재차인원!$K$4:$O$4,0))</f>
        <v>1.7830410180759575E-2</v>
      </c>
      <c r="DA45" s="267">
        <f>INDEX($M$43:$Z$56,MATCH($CW45,$L$43:$L$56,0),MATCH(DA$44,$M$44:$Z$44,0))/INDEX(고양시_재차인원!$K$4:$O$20,MATCH("경기도",고양시_재차인원!$K$4:$K$20,0),MATCH('A.일산테크노밸리(859991)_수정'!DA$44,고양시_재차인원!$K$4:$O$4,0))</f>
        <v>0.37176961090990068</v>
      </c>
      <c r="DB45" s="267">
        <f>INDEX($AA$43:$AN$56,MATCH($CW45,$L$43:$L$56,0),MATCH(DB$44,$AA$44:$AN$44,0))/INDEX(고양시_재차인원!$D$4:$H$35,MATCH("고양시",고양시_재차인원!$B$4:$B$35,0),MATCH('A.일산테크노밸리(859991)_수정'!$DB$43,고양시_재차인원!$D$4:$H$4,0))</f>
        <v>32.658914820012917</v>
      </c>
      <c r="DC45" s="267">
        <f>INDEX($AA$43:$AN$56,MATCH($CW45,$L$43:$L$56,0),MATCH(DC$44,$AA$44:$AN$44,0))/INDEX(고양시_재차인원!$K$4:$O$20,MATCH("경기도",고양시_재차인원!$K$4:$K$20,0),MATCH('A.일산테크노밸리(859991)_수정'!DC$44,고양시_재차인원!$K$4:$O$4,0))</f>
        <v>0</v>
      </c>
      <c r="DD45" s="267">
        <f>INDEX($AA$43:$AN$56,MATCH($CW45,$L$43:$L$56,0),MATCH(DD$44,$AA$44:$AN$44,0))/INDEX(고양시_재차인원!$K$4:$O$20,MATCH("경기도",고양시_재차인원!$K$4:$K$20,0),MATCH('A.일산테크노밸리(859991)_수정'!DD$44,고양시_재차인원!$K$4:$O$4,0))</f>
        <v>0.17356393262138278</v>
      </c>
      <c r="DE45" s="267">
        <f>INDEX($AA$43:$AN$56,MATCH($CW45,$L$43:$L$56,0),MATCH(DE$44,$AA$44:$AN$44,0))/INDEX(고양시_재차인원!$K$4:$O$20,MATCH("경기도",고양시_재차인원!$K$4:$K$20,0),MATCH('A.일산테크노밸리(859991)_수정'!DE$44,고양시_재차인원!$K$4:$O$4,0))</f>
        <v>4.4225486523340232</v>
      </c>
      <c r="DF45" s="267">
        <f>INDEX($AO$43:$BB$56,MATCH($CW45,$L$43:$L$56,0),MATCH(DF$44,$AO$44:$BB$44,0))/INDEX(고양시_재차인원!$D$4:$H$35,MATCH("고양시",고양시_재차인원!$B$4:$B$35,0),MATCH('A.일산테크노밸리(859991)_수정'!$DF$43,고양시_재차인원!$D$4:$H$4,0))</f>
        <v>3.5877007801385212</v>
      </c>
      <c r="DG45" s="267">
        <f>INDEX($AO$43:$BB$56,MATCH($CW45,$L$43:$L$56,0),MATCH(DG$44,$AO$44:$BB$44,0))/INDEX(고양시_재차인원!$K$4:$O$20,MATCH("경기도",고양시_재차인원!$K$4:$K$20,0),MATCH('A.일산테크노밸리(859991)_수정'!DG$44,고양시_재차인원!$K$4:$O$4,0))</f>
        <v>1.5474993733448385E-4</v>
      </c>
      <c r="DH45" s="267">
        <f>INDEX($AO$43:$BB$56,MATCH($CW45,$L$43:$L$56,0),MATCH(DH$44,$AO$44:$BB$44,0))/INDEX(고양시_재차인원!$K$4:$O$20,MATCH("경기도",고양시_재차인원!$K$4:$K$20,0),MATCH('A.일산테크노밸리(859991)_수정'!DH$44,고양시_재차인원!$K$4:$O$4,0))</f>
        <v>6.1236760916645767E-3</v>
      </c>
      <c r="DI45" s="267">
        <f>INDEX($AO$43:$BB$56,MATCH($CW45,$L$43:$L$56,0),MATCH(DI$44,$AO$44:$BB$44,0))/INDEX(고양시_재차인원!$K$4:$O$20,MATCH("경기도",고양시_재차인원!$K$4:$K$20,0),MATCH('A.일산테크노밸리(859991)_수정'!DI$44,고양시_재차인원!$K$4:$O$4,0))</f>
        <v>0.10819894547088062</v>
      </c>
      <c r="DJ45" s="268">
        <f>INDEX($BC$43:$BP$56,MATCH($CW45,$L$43:$L$56,0),MATCH(DJ$44,$BC$44:$BP$44,0))/INDEX(고양시_재차인원!$D$4:$H$35,MATCH("고양시",고양시_재차인원!$B$4:$B$35,0),MATCH('A.일산테크노밸리(859991)_수정'!$DJ$43,고양시_재차인원!$D$4:$H$4,0))</f>
        <v>1.0509594363314275E-2</v>
      </c>
      <c r="DK45" s="267">
        <f>INDEX($BC$43:$BP$56,MATCH($CW45,$L$43:$L$56,0),MATCH(DK$44,$BC$44:$BP$44,0))/INDEX(고양시_재차인원!$K$4:$O$20,MATCH("경기도",고양시_재차인원!$K$4:$K$20,0),MATCH('A.일산테크노밸리(859991)_수정'!DK$44,고양시_재차인원!$K$4:$O$4,0))</f>
        <v>3.1834272823093693E-5</v>
      </c>
      <c r="DL45" s="267">
        <f>INDEX($BC$43:$BP$56,MATCH($CW45,$L$43:$L$56,0),MATCH(DL$44,$BC$44:$BP$44,0))/INDEX(고양시_재차인원!$K$4:$O$20,MATCH("경기도",고양시_재차인원!$K$4:$K$20,0),MATCH('A.일산테크노밸리(859991)_수정'!DL$44,고양시_재차인원!$K$4:$O$4,0))</f>
        <v>2.122284854872913E-5</v>
      </c>
      <c r="DM45" s="267">
        <f>INDEX($BC$43:$BP$56,MATCH($CW45,$L$43:$L$56,0),MATCH(DM$44,$BC$44:$BP$44,0))/INDEX(고양시_재차인원!$K$4:$O$20,MATCH("경기도",고양시_재차인원!$K$4:$K$20,0),MATCH('A.일산테크노밸리(859991)_수정'!DM$44,고양시_재차인원!$K$4:$O$4,0))</f>
        <v>8.7450925684672847E-5</v>
      </c>
      <c r="DN45" s="268">
        <f>INDEX($BQ$43:$CD$56,MATCH($CW45,$L$43:$L$56,0),MATCH(DN$44,$BQ$44:$CD$44,0))/INDEX(고양시_재차인원!$D$4:$H$35,MATCH("고양시",고양시_재차인원!$B$4:$B$35,0),MATCH('A.일산테크노밸리(859991)_수정'!$DN$43,고양시_재차인원!$D$4:$H$4,0))</f>
        <v>2.3784167800037875E-2</v>
      </c>
      <c r="DO45" s="267">
        <f>INDEX($BQ$43:$CD$56,MATCH($CW45,$L$43:$L$56,0),MATCH(DO$44,$BQ$44:$CD$44,0))/INDEX(고양시_재차인원!$K$4:$O$20,MATCH("경기도",고양시_재차인원!$K$4:$K$20,0),MATCH('A.일산테크노밸리(859991)_수정'!DO$44,고양시_재차인원!$K$4:$O$4,0))</f>
        <v>9.4953262598198473E-5</v>
      </c>
      <c r="DP45" s="267">
        <f>INDEX($BQ$43:$CD$56,MATCH($CW45,$L$43:$L$56,0),MATCH(DP$44,$BQ$44:$CD$44,0))/INDEX(고양시_재차인원!$K$4:$O$20,MATCH("경기도",고양시_재차인원!$K$4:$K$20,0),MATCH('A.일산테크노밸리(859991)_수정'!DP$44,고양시_재차인원!$K$4:$O$4,0))</f>
        <v>3.1713370531455561E-4</v>
      </c>
      <c r="DQ45" s="267">
        <f>INDEX($BQ$43:$CD$56,MATCH($CW45,$L$43:$L$56,0),MATCH(DQ$44,$BQ$44:$CD$44,0))/INDEX(고양시_재차인원!$K$4:$O$20,MATCH("경기도",고양시_재차인원!$K$4:$K$20,0),MATCH('A.일산테크노밸리(859991)_수정'!DQ$44,고양시_재차인원!$K$4:$O$4,0))</f>
        <v>2.2821623150166888E-5</v>
      </c>
      <c r="DR45" s="269">
        <f>CX45+DB45+DF45+DJ45+DN45</f>
        <v>44.03471943848524</v>
      </c>
      <c r="DS45" s="270">
        <f t="shared" ref="DS45:DS56" si="20">CY45+DC45+DG45+DK45+DO45</f>
        <v>3.4567563887361627E-4</v>
      </c>
      <c r="DT45" s="270">
        <f t="shared" ref="DT45:DT56" si="21">CZ45+DD45+DH45+DL45+DP45</f>
        <v>0.19785637544767021</v>
      </c>
      <c r="DU45" s="270">
        <f t="shared" ref="DU45:DU56" si="22">DA45+DE45+DI45+DM45+DQ45</f>
        <v>4.9026274812636403</v>
      </c>
      <c r="DW45" s="278"/>
      <c r="DX45" s="278" t="s">
        <v>589</v>
      </c>
      <c r="DY45" s="281">
        <f>DR45+DU45</f>
        <v>48.937346919748883</v>
      </c>
      <c r="DZ45" s="281">
        <f>DS45+DT45</f>
        <v>0.19820205108654382</v>
      </c>
      <c r="EC45" s="412" t="s">
        <v>12</v>
      </c>
      <c r="ED45" s="412" t="s">
        <v>567</v>
      </c>
      <c r="EE45" s="412">
        <v>11477.778199999999</v>
      </c>
      <c r="EF45" s="412">
        <v>1</v>
      </c>
      <c r="EG45" s="413">
        <v>859001</v>
      </c>
      <c r="EH45" s="414">
        <f>VLOOKUP($EM45,$DX$44:$DZ$53,2,FALSE)*$EF45*$BB$11*(1-$BD$7)</f>
        <v>47.542632532536039</v>
      </c>
      <c r="EI45" s="415">
        <f>VLOOKUP($EM45,$DX$44:$DZ$53,3,FALSE)*$EF45*$BB$11*(1-$BD$7)</f>
        <v>0.19255329263057733</v>
      </c>
      <c r="EJ45" s="402">
        <v>0</v>
      </c>
      <c r="EM45" s="278" t="s">
        <v>12</v>
      </c>
      <c r="EN45" s="278" t="s">
        <v>567</v>
      </c>
      <c r="EO45" s="278">
        <v>11477.778199999999</v>
      </c>
      <c r="EP45" s="278">
        <v>1</v>
      </c>
      <c r="EQ45" s="289">
        <v>859001</v>
      </c>
      <c r="ER45" s="290">
        <f>EH45*$EA$38</f>
        <v>47.542632532536039</v>
      </c>
      <c r="ES45" s="291">
        <f t="shared" ref="ES45:ES89" si="23">EI45*$EA$38</f>
        <v>0.19255329263057733</v>
      </c>
      <c r="ET45" s="402">
        <v>0</v>
      </c>
      <c r="EV45" s="34"/>
      <c r="EW45" s="34"/>
      <c r="EX45" s="34"/>
      <c r="EY45" s="34"/>
      <c r="EZ45" s="378"/>
      <c r="FA45" s="401"/>
      <c r="FB45" s="402"/>
      <c r="FC45" s="402"/>
    </row>
    <row r="46" spans="1:159" ht="16.5" customHeight="1">
      <c r="A46" s="205"/>
      <c r="B46" s="205" t="s">
        <v>13</v>
      </c>
      <c r="C46" s="400">
        <f>'A.일산테크노밸리(859991)_수정'!$P29*KTDB_TripDistribution_2035!L$12 * (1 + KTDB_발생량도착량_증가율!$D$7*5) * (1 + KTDB_발생량도착량_증가율!$E$7*5)</f>
        <v>14.989542161735379</v>
      </c>
      <c r="D46" s="400">
        <f>'A.일산테크노밸리(859991)_수정'!$P29*KTDB_TripDistribution_2035!M$12 * (1 + KTDB_발생량도착량_증가율!$D$7*5) * (1 + KTDB_발생량도착량_증가율!$E$7*5)</f>
        <v>116.5606787666339</v>
      </c>
      <c r="E46" s="400">
        <f>'A.일산테크노밸리(859991)_수정'!$P29*KTDB_TripDistribution_2035!N$12 * (1 + KTDB_발생량도착량_증가율!$D$7*5) * (1 + KTDB_발생량도착량_증가율!$E$7*5)</f>
        <v>5.1665932439382445</v>
      </c>
      <c r="F46" s="400">
        <f>'A.일산테크노밸리(859991)_수정'!$P29*KTDB_TripDistribution_2035!O$12 * (1 + KTDB_발생량도착량_증가율!$D$7*5) * (1 + KTDB_발생량도착량_증가율!$E$7*5)</f>
        <v>1.4011100322544335E-2</v>
      </c>
      <c r="G46" s="400">
        <f>'A.일산테크노밸리(859991)_수정'!$P29*KTDB_TripDistribution_2035!P$12 * (1 + KTDB_발생량도착량_증가율!$D$7*5) * (1 + KTDB_발생량도착량_증가율!$E$7*5)</f>
        <v>3.9698117580542411E-2</v>
      </c>
      <c r="H46" s="400">
        <f>'A.일산테크노밸리(859991)_수정'!$P29*KTDB_TripDistribution_2035!Q$12 * (1 + KTDB_발생량도착량_증가율!$D$7*5) * (1 + KTDB_발생량도착량_증가율!$E$7*5)</f>
        <v>136.7705233902106</v>
      </c>
      <c r="J46" s="230">
        <f t="shared" si="6"/>
        <v>136.7705233902106</v>
      </c>
      <c r="K46" s="206"/>
      <c r="L46" s="209" t="s">
        <v>13</v>
      </c>
      <c r="M46" s="213">
        <f>INDEX($A$44:$H$56,MATCH($L46,$B$44:$B$56,0),MATCH($M$43,$A$44:$H$44,0))*고양시_Modal_split!C$3 * 0.01</f>
        <v>4.1970718052859061E-2</v>
      </c>
      <c r="N46" s="207">
        <f>INDEX($A$44:$H$56,MATCH($L46,$B$44:$B$56,0),MATCH($M$43,$A$44:$H$44,0))*고양시_Modal_split!D$3 * 0.01</f>
        <v>7.0495816786641488</v>
      </c>
      <c r="O46" s="207">
        <f>INDEX($A$44:$H$56,MATCH($L46,$B$44:$B$56,0),MATCH($M$43,$A$44:$H$44,0))*고양시_Modal_split!E$3 * 0.01</f>
        <v>0.85290494900274294</v>
      </c>
      <c r="P46" s="207">
        <f>INDEX($A$44:$H$56,MATCH($L46,$B$44:$B$56,0),MATCH($M$43,$A$44:$H$44,0))*고양시_Modal_split!F$3 * 0.01</f>
        <v>1.3745410162311342</v>
      </c>
      <c r="Q46" s="207">
        <f>INDEX($A$44:$H$56,MATCH($L46,$B$44:$B$56,0),MATCH($M$43,$A$44:$H$44,0))*고양시_Modal_split!G$3 * 0.01</f>
        <v>0.13790378788796548</v>
      </c>
      <c r="R46" s="207">
        <f>INDEX($A$44:$H$56,MATCH($L46,$B$44:$B$56,0),MATCH($M$43,$A$44:$H$44,0))*고양시_Modal_split!H$3 * 0.01</f>
        <v>1.4989542161735379E-3</v>
      </c>
      <c r="S46" s="207">
        <f>INDEX($A$44:$H$56,MATCH($L46,$B$44:$B$56,0),MATCH($M$43,$A$44:$H$44,0))*고양시_Modal_split!I$3 * 0.01</f>
        <v>0.41670927209624353</v>
      </c>
      <c r="T46" s="207">
        <f>INDEX($A$44:$H$56,MATCH($L46,$B$44:$B$56,0),MATCH($M$43,$A$44:$H$44,0))*고양시_Modal_split!J$3 * 0.01</f>
        <v>4.5628166340322496</v>
      </c>
      <c r="U46" s="207">
        <f>INDEX($A$44:$H$56,MATCH($L46,$B$44:$B$56,0),MATCH($M$43,$A$44:$H$44,0))*고양시_Modal_split!K$3 * 0.01</f>
        <v>2.2484313242603068E-2</v>
      </c>
      <c r="V46" s="207">
        <f>INDEX($A$44:$H$56,MATCH($L46,$B$44:$B$56,0),MATCH($M$43,$A$44:$H$44,0))*고양시_Modal_split!L$3 * 0.01</f>
        <v>0.45268417328440846</v>
      </c>
      <c r="W46" s="207">
        <f>INDEX($A$44:$H$56,MATCH($L46,$B$44:$B$56,0),MATCH($M$43,$A$44:$H$44,0))*고양시_Modal_split!M$3 * 0.01</f>
        <v>3.447594697199137E-2</v>
      </c>
      <c r="X46" s="207">
        <f>INDEX($A$44:$H$56,MATCH($L46,$B$44:$B$56,0),MATCH($M$43,$A$44:$H$44,0))*고양시_Modal_split!N$3 * 0.01</f>
        <v>1.4989542161735382E-2</v>
      </c>
      <c r="Y46" s="207">
        <f>INDEX($A$44:$H$56,MATCH($L46,$B$44:$B$56,0),MATCH($M$43,$A$44:$H$44,0))*고양시_Modal_split!O$3 * 0.01</f>
        <v>2.6981175891123681E-2</v>
      </c>
      <c r="Z46" s="214">
        <f>INDEX($A$44:$H$56,MATCH($L46,$B$44:$B$56,0),MATCH($M$43,$A$44:$H$44,0))*고양시_Modal_split!P$3 * 0.01</f>
        <v>14.989542161735379</v>
      </c>
      <c r="AA46" s="213">
        <f>INDEX($A$44:$H$56,MATCH($L46,$B$44:$B$56,0),MATCH($AA$43,$A$44:$H$44,0))*고양시_Modal_split!C$4 * 0.01</f>
        <v>35.481070616563365</v>
      </c>
      <c r="AB46" s="207">
        <f>INDEX($A$44:$H$56,MATCH($L46,$B$44:$B$56,0),MATCH($AA$43,$A$44:$H$44,0))*고양시_Modal_split!D$4 * 0.01</f>
        <v>37.381009680459492</v>
      </c>
      <c r="AC46" s="207">
        <f>INDEX($A$44:$H$56,MATCH($L46,$B$44:$B$56,0),MATCH($AA$43,$A$44:$H$44,0))*고양시_Modal_split!E$4 * 0.01</f>
        <v>9.0567647401674556</v>
      </c>
      <c r="AD46" s="207">
        <f>INDEX($A$44:$H$56,MATCH($L46,$B$44:$B$56,0),MATCH($AA$43,$A$44:$H$44,0))*고양시_Modal_split!F$4 * 0.01</f>
        <v>1.1073264482830221</v>
      </c>
      <c r="AE46" s="207">
        <f>INDEX($A$44:$H$56,MATCH($L46,$B$44:$B$56,0),MATCH($AA$43,$A$44:$H$44,0))*고양시_Modal_split!G$4 * 0.01</f>
        <v>13.64925548357283</v>
      </c>
      <c r="AF46" s="207">
        <f>INDEX($A$44:$H$56,MATCH($L46,$B$44:$B$56,0),MATCH($AA$43,$A$44:$H$44,0))*고양시_Modal_split!H$4 * 0.01</f>
        <v>0</v>
      </c>
      <c r="AG46" s="207">
        <f>INDEX($A$44:$H$56,MATCH($L46,$B$44:$B$56,0),MATCH($AA$43,$A$44:$H$44,0))*고양시_Modal_split!I$4 * 0.01</f>
        <v>4.0563116210788595</v>
      </c>
      <c r="AH46" s="207">
        <f>INDEX($A$44:$H$56,MATCH($L46,$B$44:$B$56,0),MATCH($AA$43,$A$44:$H$44,0))*고양시_Modal_split!J$4 * 0.01</f>
        <v>5.4900079699084561</v>
      </c>
      <c r="AI46" s="207">
        <f>INDEX($A$44:$H$56,MATCH($L46,$B$44:$B$56,0),MATCH($AA$43,$A$44:$H$44,0))*고양시_Modal_split!K$4 * 0.01</f>
        <v>0</v>
      </c>
      <c r="AJ46" s="207">
        <f>INDEX($A$44:$H$56,MATCH($L46,$B$44:$B$56,0),MATCH($AA$43,$A$44:$H$44,0))*고양시_Modal_split!L$4 * 0.01</f>
        <v>5.385103359018486</v>
      </c>
      <c r="AK46" s="207">
        <f>INDEX($A$44:$H$56,MATCH($L46,$B$44:$B$56,0),MATCH($AA$43,$A$44:$H$44,0))*고양시_Modal_split!M$4 * 0.01</f>
        <v>0.78095654773644707</v>
      </c>
      <c r="AL46" s="207">
        <f>INDEX($A$44:$H$56,MATCH($L46,$B$44:$B$56,0),MATCH($AA$43,$A$44:$H$44,0))*고양시_Modal_split!N$4 * 0.01</f>
        <v>2.9140169691658473</v>
      </c>
      <c r="AM46" s="207">
        <f>INDEX($A$44:$H$56,MATCH($L46,$B$44:$B$56,0),MATCH($AA$43,$A$44:$H$44,0))*고양시_Modal_split!O$4 * 0.01</f>
        <v>1.2588553306796462</v>
      </c>
      <c r="AN46" s="214">
        <f>INDEX($A$44:$H$56,MATCH($L46,$B$44:$B$56,0),MATCH($AA$43,$A$44:$H$44,0))*고양시_Modal_split!P$4 * 0.01</f>
        <v>116.5606787666339</v>
      </c>
      <c r="AO46" s="213">
        <f>INDEX($A$44:$H$56,MATCH($L46,$B$44:$B$56,0),MATCH($AO$43,$A$44:$H$44,0))*고양시_Modal_split!C$5 * 0.01</f>
        <v>3.0999559463629469E-3</v>
      </c>
      <c r="AP46" s="207">
        <f>INDEX($A$44:$H$56,MATCH($L46,$B$44:$B$56,0),MATCH($AO$43,$A$44:$H$44,0))*고양시_Modal_split!D$5 * 0.01</f>
        <v>3.7860795291579454</v>
      </c>
      <c r="AQ46" s="207">
        <f>INDEX($A$44:$H$56,MATCH($L46,$B$44:$B$56,0),MATCH($AO$43,$A$44:$H$44,0))*고양시_Modal_split!E$5 * 0.01</f>
        <v>0.50890943452791704</v>
      </c>
      <c r="AR46" s="207">
        <f>INDEX($A$44:$H$56,MATCH($L46,$B$44:$B$56,0),MATCH($AO$43,$A$44:$H$44,0))*고양시_Modal_split!F$5 * 0.01</f>
        <v>0.10849845812270313</v>
      </c>
      <c r="AS46" s="207">
        <f>INDEX($A$44:$H$56,MATCH($L46,$B$44:$B$56,0),MATCH($AO$43,$A$44:$H$44,0))*고양시_Modal_split!G$5 * 0.01</f>
        <v>3.3582856085598592E-2</v>
      </c>
      <c r="AT46" s="207">
        <f>INDEX($A$44:$H$56,MATCH($L46,$B$44:$B$56,0),MATCH($AO$43,$A$44:$H$44,0))*고양시_Modal_split!H$5 * 0.01</f>
        <v>3.6166152707567708E-3</v>
      </c>
      <c r="AU46" s="207">
        <f>INDEX($A$44:$H$56,MATCH($L46,$B$44:$B$56,0),MATCH($AO$43,$A$44:$H$44,0))*고양시_Modal_split!I$5 * 0.01</f>
        <v>0.14311463285708936</v>
      </c>
      <c r="AV46" s="207">
        <f>INDEX($A$44:$H$56,MATCH($L46,$B$44:$B$56,0),MATCH($AO$43,$A$44:$H$44,0))*고양시_Modal_split!J$5 * 0.01</f>
        <v>0.32394539639492798</v>
      </c>
      <c r="AW46" s="207">
        <f>INDEX($A$44:$H$56,MATCH($L46,$B$44:$B$56,0),MATCH($AO$43,$A$44:$H$44,0))*고양시_Modal_split!K$5 * 0.01</f>
        <v>1.0333186487876489E-3</v>
      </c>
      <c r="AX46" s="207">
        <f>INDEX($A$44:$H$56,MATCH($L46,$B$44:$B$56,0),MATCH($AO$43,$A$44:$H$44,0))*고양시_Modal_split!L$5 * 0.01</f>
        <v>0.13174812772042521</v>
      </c>
      <c r="AY46" s="207">
        <f>INDEX($A$44:$H$56,MATCH($L46,$B$44:$B$56,0),MATCH($AO$43,$A$44:$H$44,0))*고양시_Modal_split!M$5 * 0.01</f>
        <v>3.4616174734386239E-2</v>
      </c>
      <c r="AZ46" s="207">
        <f>INDEX($A$44:$H$56,MATCH($L46,$B$44:$B$56,0),MATCH($AO$43,$A$44:$H$44,0))*고양시_Modal_split!N$5 * 0.01</f>
        <v>8.7832085146950147E-3</v>
      </c>
      <c r="BA46" s="207">
        <f>INDEX($A$44:$H$56,MATCH($L46,$B$44:$B$56,0),MATCH($AO$43,$A$44:$H$44,0))*고양시_Modal_split!O$5 * 0.01</f>
        <v>7.9565535956648961E-2</v>
      </c>
      <c r="BB46" s="214">
        <f>INDEX($A$44:$H$56,MATCH($L46,$B$44:$B$56,0),MATCH($AO$43,$A$44:$H$44,0))*고양시_Modal_split!P$5 * 0.01</f>
        <v>5.1665932439382436</v>
      </c>
      <c r="BC46" s="213">
        <f>INDEX($A$44:$H$56,MATCH($L46,$B$44:$B$56,0),MATCH($BC$43,$A$44:$H$44,0))*고양시_Modal_split!C$6 * 0.01</f>
        <v>0</v>
      </c>
      <c r="BD46" s="207">
        <f>INDEX($A$44:$H$56,MATCH($L46,$B$44:$B$56,0),MATCH($BC$43,$A$44:$H$44,0))*고양시_Modal_split!D$6 * 0.01</f>
        <v>1.1602592177098962E-2</v>
      </c>
      <c r="BE46" s="207">
        <f>INDEX($A$44:$H$56,MATCH($L46,$B$44:$B$56,0),MATCH($BC$43,$A$44:$H$44,0))*고양시_Modal_split!E$6 * 0.01</f>
        <v>6.0247731386940636E-5</v>
      </c>
      <c r="BF46" s="207">
        <f>INDEX($A$44:$H$56,MATCH($L46,$B$44:$B$56,0),MATCH($BC$43,$A$44:$H$44,0))*고양시_Modal_split!F$6 * 0.01</f>
        <v>1.709354239350409E-4</v>
      </c>
      <c r="BG46" s="207">
        <f>INDEX($A$44:$H$56,MATCH($L46,$B$44:$B$56,0),MATCH($BC$43,$A$44:$H$44,0))*고양시_Modal_split!G$6 * 0.01</f>
        <v>0</v>
      </c>
      <c r="BH46" s="207">
        <f>INDEX($A$44:$H$56,MATCH($L46,$B$44:$B$56,0),MATCH($BC$43,$A$44:$H$44,0))*고양시_Modal_split!H$6 * 0.01</f>
        <v>7.4398942712710432E-4</v>
      </c>
      <c r="BI46" s="207">
        <f>INDEX($A$44:$H$56,MATCH($L46,$B$44:$B$56,0),MATCH($BC$43,$A$44:$H$44,0))*고양시_Modal_split!I$6 * 0.01</f>
        <v>4.9599295141806955E-4</v>
      </c>
      <c r="BJ46" s="207">
        <f>INDEX($A$44:$H$56,MATCH($L46,$B$44:$B$56,0),MATCH($BC$43,$A$44:$H$44,0))*고양시_Modal_split!J$6 * 0.01</f>
        <v>6.9214835593369014E-4</v>
      </c>
      <c r="BK46" s="207">
        <f>INDEX($A$44:$H$56,MATCH($L46,$B$44:$B$56,0),MATCH($BC$43,$A$44:$H$44,0))*고양시_Modal_split!K$6 * 0.01</f>
        <v>0</v>
      </c>
      <c r="BL46" s="207">
        <f>INDEX($A$44:$H$56,MATCH($L46,$B$44:$B$56,0),MATCH($BC$43,$A$44:$H$44,0))*고양시_Modal_split!L$6 * 0.01</f>
        <v>1.0648436245133696E-4</v>
      </c>
      <c r="BM46" s="207">
        <f>INDEX($A$44:$H$56,MATCH($L46,$B$44:$B$56,0),MATCH($BC$43,$A$44:$H$44,0))*고양시_Modal_split!M$6 * 0.01</f>
        <v>1.2750101293515346E-4</v>
      </c>
      <c r="BN46" s="207">
        <f>INDEX($A$44:$H$56,MATCH($L46,$B$44:$B$56,0),MATCH($BC$43,$A$44:$H$44,0))*고양시_Modal_split!N$6 * 0.01</f>
        <v>0</v>
      </c>
      <c r="BO46" s="207">
        <f>INDEX($A$44:$H$56,MATCH($L46,$B$44:$B$56,0),MATCH($BC$43,$A$44:$H$44,0))*고양시_Modal_split!O$6 * 0.01</f>
        <v>1.1208880258035468E-5</v>
      </c>
      <c r="BP46" s="214">
        <f>INDEX($A$44:$H$56,MATCH($L46,$B$44:$B$56,0),MATCH($BC$43,$A$44:$H$44,0))*고양시_Modal_split!P$6 * 0.01</f>
        <v>1.4011100322544335E-2</v>
      </c>
      <c r="BQ46" s="213">
        <f>INDEX($A$44:$H$56,MATCH($L46,$B$44:$B$56,0),MATCH($BQ$43,$A$44:$H$44,0))*고양시_Modal_split!C$7 * 0.01</f>
        <v>0</v>
      </c>
      <c r="BR46" s="207">
        <f>INDEX($A$44:$H$56,MATCH($L46,$B$44:$B$56,0),MATCH($BQ$43,$A$44:$H$44,0))*고양시_Modal_split!D$7 * 0.01</f>
        <v>2.4327006453356389E-2</v>
      </c>
      <c r="BS46" s="207">
        <f>INDEX($A$44:$H$56,MATCH($L46,$B$44:$B$56,0),MATCH($BQ$43,$A$44:$H$44,0))*고양시_Modal_split!E$7 * 0.01</f>
        <v>1.186973715658218E-3</v>
      </c>
      <c r="BT46" s="207">
        <f>INDEX($A$44:$H$56,MATCH($L46,$B$44:$B$56,0),MATCH($BQ$43,$A$44:$H$44,0))*고양시_Modal_split!F$7 * 0.01</f>
        <v>3.9698117580542412E-4</v>
      </c>
      <c r="BU46" s="207">
        <f>INDEX($A$44:$H$56,MATCH($L46,$B$44:$B$56,0),MATCH($BQ$43,$A$44:$H$44,0))*고양시_Modal_split!G$7 * 0.01</f>
        <v>1.6673209383827811E-4</v>
      </c>
      <c r="BV46" s="207">
        <f>INDEX($A$44:$H$56,MATCH($L46,$B$44:$B$56,0),MATCH($BQ$43,$A$44:$H$44,0))*고양시_Modal_split!H$7 * 0.01</f>
        <v>2.2191247727523207E-3</v>
      </c>
      <c r="BW46" s="207">
        <f>INDEX($A$44:$H$56,MATCH($L46,$B$44:$B$56,0),MATCH($BQ$43,$A$44:$H$44,0))*고양시_Modal_split!I$7 * 0.01</f>
        <v>7.4116385522872688E-3</v>
      </c>
      <c r="BX46" s="207">
        <f>INDEX($A$44:$H$56,MATCH($L46,$B$44:$B$56,0),MATCH($BQ$43,$A$44:$H$44,0))*고양시_Modal_split!J$7 * 0.01</f>
        <v>7.9396235161084833E-6</v>
      </c>
      <c r="BY46" s="207">
        <f>INDEX($A$44:$H$56,MATCH($L46,$B$44:$B$56,0),MATCH($BQ$43,$A$44:$H$44,0))*고양시_Modal_split!K$7 * 0.01</f>
        <v>3.0567550537017657E-3</v>
      </c>
      <c r="BZ46" s="207">
        <f>INDEX($A$44:$H$56,MATCH($L46,$B$44:$B$56,0),MATCH($BQ$43,$A$44:$H$44,0))*고양시_Modal_split!L$7 * 0.01</f>
        <v>2.7788682306379689E-5</v>
      </c>
      <c r="CA46" s="207">
        <f>INDEX($A$44:$H$56,MATCH($L46,$B$44:$B$56,0),MATCH($BQ$43,$A$44:$H$44,0))*고양시_Modal_split!M$7 * 0.01</f>
        <v>7.4235479875614312E-4</v>
      </c>
      <c r="CB46" s="207">
        <f>INDEX($A$44:$H$56,MATCH($L46,$B$44:$B$56,0),MATCH($BQ$43,$A$44:$H$44,0))*고양시_Modal_split!N$7 * 0.01</f>
        <v>1.5482265856411539E-4</v>
      </c>
      <c r="CC46" s="207">
        <f>INDEX($A$44:$H$56,MATCH($L46,$B$44:$B$56,0),MATCH($BQ$43,$A$44:$H$44,0))*고양시_Modal_split!O$7 * 0.01</f>
        <v>0</v>
      </c>
      <c r="CD46" s="214">
        <f>INDEX($A$44:$H$56,MATCH($L46,$B$44:$B$56,0),MATCH($BQ$43,$A$44:$H$44,0))*고양시_Modal_split!P$7 * 0.01</f>
        <v>3.9698117580542411E-2</v>
      </c>
      <c r="CE46" s="218">
        <f t="shared" ref="CE46:CE56" si="24">M46+AA46+AO46+BC46+BQ46</f>
        <v>35.526141290562585</v>
      </c>
      <c r="CF46" s="208">
        <f t="shared" si="7"/>
        <v>48.252600486912037</v>
      </c>
      <c r="CG46" s="208">
        <f t="shared" si="8"/>
        <v>10.419826345145161</v>
      </c>
      <c r="CH46" s="208">
        <f t="shared" si="9"/>
        <v>2.5909338392365999</v>
      </c>
      <c r="CI46" s="208">
        <f t="shared" si="10"/>
        <v>13.820908859640232</v>
      </c>
      <c r="CJ46" s="208">
        <f t="shared" si="11"/>
        <v>8.0786836868097338E-3</v>
      </c>
      <c r="CK46" s="208">
        <f t="shared" si="12"/>
        <v>4.6240431575358967</v>
      </c>
      <c r="CL46" s="208">
        <f t="shared" si="13"/>
        <v>10.377470088315086</v>
      </c>
      <c r="CM46" s="208">
        <f t="shared" si="14"/>
        <v>2.6574386945092485E-2</v>
      </c>
      <c r="CN46" s="208">
        <f t="shared" si="15"/>
        <v>5.9696699330680776</v>
      </c>
      <c r="CO46" s="208">
        <f t="shared" si="16"/>
        <v>0.85091852525451606</v>
      </c>
      <c r="CP46" s="208">
        <f t="shared" si="17"/>
        <v>2.9379445425008419</v>
      </c>
      <c r="CQ46" s="208">
        <f t="shared" si="18"/>
        <v>1.3654132514076767</v>
      </c>
      <c r="CR46" s="219">
        <f t="shared" si="19"/>
        <v>136.7705233902106</v>
      </c>
      <c r="CS46" s="225">
        <f t="shared" ref="CS46:CS56" si="25">H46-CR46</f>
        <v>0</v>
      </c>
      <c r="CV46" s="265"/>
      <c r="CW46" s="266" t="s">
        <v>13</v>
      </c>
      <c r="CX46" s="267">
        <f>INDEX($M$43:$Z$56,MATCH($CW46,$L$43:$L$56,0),MATCH(CX$44,$M$44:$Z$44,0))/INDEX(고양시_재차인원!$D$4:$H$35,MATCH("고양시",고양시_재차인원!$B$4:$B$35,0),MATCH('A.일산테크노밸리(859991)_수정'!$CX$43,고양시_재차인원!$D$4:$H$4,0))</f>
        <v>6.2942693559501324</v>
      </c>
      <c r="CY46" s="267">
        <f>INDEX($M$43:$Z$56,MATCH($CW46,$L$43:$L$56,0),MATCH(CY$44,$M$44:$Z$44,0))/INDEX(고양시_재차인원!$K$4:$O$20,MATCH("경기도",고양시_재차인원!$K$4:$K$20,0),MATCH('A.일산테크노밸리(859991)_수정'!CY$44,고양시_재차인원!$K$4:$O$4,0))</f>
        <v>5.2065099554482039E-5</v>
      </c>
      <c r="CZ46" s="267">
        <f>INDEX($M$43:$Z$56,MATCH($CW46,$L$43:$L$56,0),MATCH(CZ$44,$M$44:$Z$44,0))/INDEX(고양시_재차인원!$K$4:$O$20,MATCH("경기도",고양시_재차인원!$K$4:$K$20,0),MATCH('A.일산테크노밸리(859991)_수정'!CZ$44,고양시_재차인원!$K$4:$O$4,0))</f>
        <v>1.4474097676146007E-2</v>
      </c>
      <c r="DA46" s="267">
        <f>INDEX($M$43:$Z$56,MATCH($CW46,$L$43:$L$56,0),MATCH(DA$44,$M$44:$Z$44,0))/INDEX(고양시_재차인원!$K$4:$O$20,MATCH("경기도",고양시_재차인원!$K$4:$K$20,0),MATCH('A.일산테크노밸리(859991)_수정'!DA$44,고양시_재차인원!$K$4:$O$4,0))</f>
        <v>0.30178944885627229</v>
      </c>
      <c r="DB46" s="268">
        <f>INDEX($AA$43:$AN$56,MATCH($CW46,$L$43:$L$56,0),MATCH(DB$44,$AA$44:$AN$44,0))/INDEX(고양시_재차인원!$D$4:$H$35,MATCH("고양시",고양시_재차인원!$B$4:$B$35,0),MATCH('A.일산테크노밸리(859991)_수정'!$DB$43,고양시_재차인원!$D$4:$H$4,0))</f>
        <v>26.511354383304607</v>
      </c>
      <c r="DC46" s="267">
        <f>INDEX($AA$43:$AN$56,MATCH($CW46,$L$43:$L$56,0),MATCH(DC$44,$AA$44:$AN$44,0))/INDEX(고양시_재차인원!$K$4:$O$20,MATCH("경기도",고양시_재차인원!$K$4:$K$20,0),MATCH('A.일산테크노밸리(859991)_수정'!DC$44,고양시_재차인원!$K$4:$O$4,0))</f>
        <v>0</v>
      </c>
      <c r="DD46" s="267">
        <f>INDEX($AA$43:$AN$56,MATCH($CW46,$L$43:$L$56,0),MATCH(DD$44,$AA$44:$AN$44,0))/INDEX(고양시_재차인원!$K$4:$O$20,MATCH("경기도",고양시_재차인원!$K$4:$K$20,0),MATCH('A.일산테크노밸리(859991)_수정'!DD$44,고양시_재차인원!$K$4:$O$4,0))</f>
        <v>0.14089307471618129</v>
      </c>
      <c r="DE46" s="267">
        <f>INDEX($AA$43:$AN$56,MATCH($CW46,$L$43:$L$56,0),MATCH(DE$44,$AA$44:$AN$44,0))/INDEX(고양시_재차인원!$K$4:$O$20,MATCH("경기도",고양시_재차인원!$K$4:$K$20,0),MATCH('A.일산테크노밸리(859991)_수정'!DE$44,고양시_재차인원!$K$4:$O$4,0))</f>
        <v>3.5900689060123239</v>
      </c>
      <c r="DF46" s="268">
        <f>INDEX($AO$43:$BB$56,MATCH($CW46,$L$43:$L$56,0),MATCH(DF$44,$AO$44:$BB$44,0))/INDEX(고양시_재차인원!$D$4:$H$35,MATCH("고양시",고양시_재차인원!$B$4:$B$35,0),MATCH('A.일산테크노밸리(859991)_수정'!$DF$43,고양시_재차인원!$D$4:$H$4,0))</f>
        <v>2.9123688685830347</v>
      </c>
      <c r="DG46" s="267">
        <f>INDEX($AO$43:$BB$56,MATCH($CW46,$L$43:$L$56,0),MATCH(DG$44,$AO$44:$BB$44,0))/INDEX(고양시_재차인원!$K$4:$O$20,MATCH("경기도",고양시_재차인원!$K$4:$K$20,0),MATCH('A.일산테크노밸리(859991)_수정'!DG$44,고양시_재차인원!$K$4:$O$4,0))</f>
        <v>1.2562053736563984E-4</v>
      </c>
      <c r="DH46" s="267">
        <f>INDEX($AO$43:$BB$56,MATCH($CW46,$L$43:$L$56,0),MATCH(DH$44,$AO$44:$BB$44,0))/INDEX(고양시_재차인원!$K$4:$O$20,MATCH("경기도",고양시_재차인원!$K$4:$K$20,0),MATCH('A.일산테크노밸리(859991)_수정'!DH$44,고양시_재차인원!$K$4:$O$4,0))</f>
        <v>4.9709841214688908E-3</v>
      </c>
      <c r="DI46" s="267">
        <f>INDEX($AO$43:$BB$56,MATCH($CW46,$L$43:$L$56,0),MATCH(DI$44,$AO$44:$BB$44,0))/INDEX(고양시_재차인원!$K$4:$O$20,MATCH("경기도",고양시_재차인원!$K$4:$K$20,0),MATCH('A.일산테크노밸리(859991)_수정'!DI$44,고양시_재차인원!$K$4:$O$4,0))</f>
        <v>8.7832085146950137E-2</v>
      </c>
      <c r="DJ46" s="268">
        <f>INDEX($BC$43:$BP$56,MATCH($CW46,$L$43:$L$56,0),MATCH(DJ$44,$BC$44:$BP$44,0))/INDEX(고양시_재차인원!$D$4:$H$35,MATCH("고양시",고양시_재차인원!$B$4:$B$35,0),MATCH('A.일산테크노밸리(859991)_수정'!$DJ$43,고양시_재차인원!$D$4:$H$4,0))</f>
        <v>8.5313177772786478E-3</v>
      </c>
      <c r="DK46" s="267">
        <f>INDEX($BC$43:$BP$56,MATCH($CW46,$L$43:$L$56,0),MATCH(DK$44,$BC$44:$BP$44,0))/INDEX(고양시_재차인원!$K$4:$O$20,MATCH("경기도",고양시_재차인원!$K$4:$K$20,0),MATCH('A.일산테크노밸리(859991)_수정'!DK$44,고양시_재차인원!$K$4:$O$4,0))</f>
        <v>2.5841939115217241E-5</v>
      </c>
      <c r="DL46" s="267">
        <f>INDEX($BC$43:$BP$56,MATCH($CW46,$L$43:$L$56,0),MATCH(DL$44,$BC$44:$BP$44,0))/INDEX(고양시_재차인원!$K$4:$O$20,MATCH("경기도",고양시_재차인원!$K$4:$K$20,0),MATCH('A.일산테크노밸리(859991)_수정'!DL$44,고양시_재차인원!$K$4:$O$4,0))</f>
        <v>1.7227959410144828E-5</v>
      </c>
      <c r="DM46" s="267">
        <f>INDEX($BC$43:$BP$56,MATCH($CW46,$L$43:$L$56,0),MATCH(DM$44,$BC$44:$BP$44,0))/INDEX(고양시_재차인원!$K$4:$O$20,MATCH("경기도",고양시_재차인원!$K$4:$K$20,0),MATCH('A.일산테크노밸리(859991)_수정'!DM$44,고양시_재차인원!$K$4:$O$4,0))</f>
        <v>7.0989574967557974E-5</v>
      </c>
      <c r="DN46" s="268">
        <f>INDEX($BQ$43:$CD$56,MATCH($CW46,$L$43:$L$56,0),MATCH(DN$44,$BQ$44:$CD$44,0))/INDEX(고양시_재차인원!$D$4:$H$35,MATCH("고양시",고양시_재차인원!$B$4:$B$35,0),MATCH('A.일산테크노밸리(859991)_수정'!$DN$43,고양시_재차인원!$D$4:$H$4,0))</f>
        <v>1.9307147978854276E-2</v>
      </c>
      <c r="DO46" s="267">
        <f>INDEX($BQ$43:$CD$56,MATCH($CW46,$L$43:$L$56,0),MATCH(DO$44,$BQ$44:$CD$44,0))/INDEX(고양시_재차인원!$K$4:$O$20,MATCH("경기도",고양시_재차인원!$K$4:$K$20,0),MATCH('A.일산테크노밸리(859991)_수정'!DO$44,고양시_재차인원!$K$4:$O$4,0))</f>
        <v>7.7079707285596422E-5</v>
      </c>
      <c r="DP46" s="267">
        <f>INDEX($BQ$43:$CD$56,MATCH($CW46,$L$43:$L$56,0),MATCH(DP$44,$BQ$44:$CD$44,0))/INDEX(고양시_재차인원!$K$4:$O$20,MATCH("경기도",고양시_재차인원!$K$4:$K$20,0),MATCH('A.일산테크노밸리(859991)_수정'!DP$44,고양시_재차인원!$K$4:$O$4,0))</f>
        <v>2.5743794902005103E-4</v>
      </c>
      <c r="DQ46" s="267">
        <f>INDEX($BQ$43:$CD$56,MATCH($CW46,$L$43:$L$56,0),MATCH(DQ$44,$BQ$44:$CD$44,0))/INDEX(고양시_재차인원!$K$4:$O$20,MATCH("경기도",고양시_재차인원!$K$4:$K$20,0),MATCH('A.일산테크노밸리(859991)_수정'!DQ$44,고양시_재차인원!$K$4:$O$4,0))</f>
        <v>1.8525788204253127E-5</v>
      </c>
      <c r="DR46" s="269">
        <f t="shared" ref="DR46:DR56" si="26">CX46+DB46+DF46+DJ46+DN46</f>
        <v>35.745831073593912</v>
      </c>
      <c r="DS46" s="270">
        <f t="shared" si="20"/>
        <v>2.8060728332093555E-4</v>
      </c>
      <c r="DT46" s="270">
        <f t="shared" si="21"/>
        <v>0.16061282242222641</v>
      </c>
      <c r="DU46" s="270">
        <f t="shared" si="22"/>
        <v>3.9797799553787185</v>
      </c>
      <c r="DW46" s="278"/>
      <c r="DX46" s="278" t="s">
        <v>590</v>
      </c>
      <c r="DY46" s="281">
        <f t="shared" ref="DY46:DY50" si="27">DR46+DU46</f>
        <v>39.725611028972629</v>
      </c>
      <c r="DZ46" s="281">
        <f t="shared" ref="DZ46:DZ50" si="28">DS46+DT46</f>
        <v>0.16089342970554735</v>
      </c>
      <c r="EC46" s="412" t="s">
        <v>13</v>
      </c>
      <c r="ED46" s="412" t="s">
        <v>568</v>
      </c>
      <c r="EE46" s="412">
        <v>907.24059999999997</v>
      </c>
      <c r="EF46" s="412">
        <v>0.22444210067316503</v>
      </c>
      <c r="EG46" s="413">
        <v>859002</v>
      </c>
      <c r="EH46" s="414">
        <f t="shared" ref="EH46:EH89" si="29">VLOOKUP($EM46,$DX$44:$DZ$53,2,FALSE)*$EF46*$BB$11*(1-$BD$7)</f>
        <v>8.6619907515564414</v>
      </c>
      <c r="EI46" s="415">
        <f t="shared" ref="EI46:EI89" si="30">VLOOKUP($EM46,$DX$44:$DZ$53,3,FALSE)*$EF46*$BB$11*(1-$BD$7)</f>
        <v>3.5082088456215993E-2</v>
      </c>
      <c r="EJ46" s="402">
        <v>0</v>
      </c>
      <c r="EM46" s="278" t="s">
        <v>13</v>
      </c>
      <c r="EN46" s="278" t="s">
        <v>568</v>
      </c>
      <c r="EO46" s="278">
        <v>907.24059999999997</v>
      </c>
      <c r="EP46" s="278">
        <v>0.22444210067316503</v>
      </c>
      <c r="EQ46" s="289">
        <v>859002</v>
      </c>
      <c r="ER46" s="290">
        <f t="shared" ref="ER46:ER89" si="31">EH46*$EA$38</f>
        <v>8.6619907515564414</v>
      </c>
      <c r="ES46" s="291">
        <f t="shared" si="23"/>
        <v>3.5082088456215993E-2</v>
      </c>
      <c r="ET46" s="402">
        <v>0</v>
      </c>
      <c r="EV46" s="34"/>
      <c r="EW46" s="34"/>
      <c r="EX46" s="34"/>
      <c r="EY46" s="34"/>
      <c r="EZ46" s="378"/>
      <c r="FA46" s="401"/>
      <c r="FB46" s="402"/>
      <c r="FC46" s="402"/>
    </row>
    <row r="47" spans="1:159" ht="27" customHeight="1">
      <c r="A47" s="205"/>
      <c r="B47" s="205" t="s">
        <v>483</v>
      </c>
      <c r="C47" s="400">
        <f>'A.일산테크노밸리(859991)_수정'!$P30*KTDB_TripDistribution_2035!L$12 * (1 + KTDB_발생량도착량_증가율!$D$7*5) * (1 + KTDB_발생량도착량_증가율!$E$7*5)</f>
        <v>111.66122711785485</v>
      </c>
      <c r="D47" s="400">
        <f>'A.일산테크노밸리(859991)_수정'!$P30*KTDB_TripDistribution_2035!M$12 * (1 + KTDB_발생량도착량_증가율!$D$7*5) * (1 + KTDB_발생량도착량_증가율!$E$7*5)</f>
        <v>868.29259255144666</v>
      </c>
      <c r="E47" s="400">
        <f>'A.일산테크노밸리(859991)_수정'!$P30*KTDB_TripDistribution_2035!N$12 * (1 + KTDB_발생량도착량_증가율!$D$7*5) * (1 + KTDB_발생량도착량_증가율!$E$7*5)</f>
        <v>38.487375759192133</v>
      </c>
      <c r="F47" s="400">
        <f>'A.일산테크노밸리(859991)_수정'!$P30*KTDB_TripDistribution_2035!O$12 * (1 + KTDB_발생량도착량_증가율!$D$7*5) * (1 + KTDB_발생량도착량_증가율!$E$7*5)</f>
        <v>0.10437254443170708</v>
      </c>
      <c r="G47" s="400">
        <f>'A.일산테크노밸리(859991)_수정'!$P30*KTDB_TripDistribution_2035!P$12 * (1 + KTDB_발생량도착량_증가율!$D$7*5) * (1 + KTDB_발생량도착량_증가율!$E$7*5)</f>
        <v>0.29572220922317094</v>
      </c>
      <c r="H47" s="400">
        <f>'A.일산테크노밸리(859991)_수정'!$P30*KTDB_TripDistribution_2035!Q$12 * (1 + KTDB_발생량도착량_증가율!$D$7*5) * (1 + KTDB_발생량도착량_증가율!$E$7*5)</f>
        <v>1018.8412901821487</v>
      </c>
      <c r="J47" s="230">
        <f t="shared" si="6"/>
        <v>1018.8412901821487</v>
      </c>
      <c r="K47" s="206"/>
      <c r="L47" s="209" t="s">
        <v>14</v>
      </c>
      <c r="M47" s="213">
        <f>INDEX($A$44:$H$56,MATCH($L47,$B$44:$B$56,0),MATCH($M$43,$A$44:$H$44,0))*고양시_Modal_split!C$3 * 0.01</f>
        <v>0.31265143592999356</v>
      </c>
      <c r="N47" s="207">
        <f>INDEX($A$44:$H$56,MATCH($L47,$B$44:$B$56,0),MATCH($M$43,$A$44:$H$44,0))*고양시_Modal_split!D$3 * 0.01</f>
        <v>52.514275113527141</v>
      </c>
      <c r="O47" s="207">
        <f>INDEX($A$44:$H$56,MATCH($L47,$B$44:$B$56,0),MATCH($M$43,$A$44:$H$44,0))*고양시_Modal_split!E$3 * 0.01</f>
        <v>6.3535238230059408</v>
      </c>
      <c r="P47" s="207">
        <f>INDEX($A$44:$H$56,MATCH($L47,$B$44:$B$56,0),MATCH($M$43,$A$44:$H$44,0))*고양시_Modal_split!F$3 * 0.01</f>
        <v>10.239334526707289</v>
      </c>
      <c r="Q47" s="207">
        <f>INDEX($A$44:$H$56,MATCH($L47,$B$44:$B$56,0),MATCH($M$43,$A$44:$H$44,0))*고양시_Modal_split!G$3 * 0.01</f>
        <v>1.0272832894842645</v>
      </c>
      <c r="R47" s="207">
        <f>INDEX($A$44:$H$56,MATCH($L47,$B$44:$B$56,0),MATCH($M$43,$A$44:$H$44,0))*고양시_Modal_split!H$3 * 0.01</f>
        <v>1.1166122711785485E-2</v>
      </c>
      <c r="S47" s="207">
        <f>INDEX($A$44:$H$56,MATCH($L47,$B$44:$B$56,0),MATCH($M$43,$A$44:$H$44,0))*고양시_Modal_split!I$3 * 0.01</f>
        <v>3.1041821138763646</v>
      </c>
      <c r="T47" s="207">
        <f>INDEX($A$44:$H$56,MATCH($L47,$B$44:$B$56,0),MATCH($M$43,$A$44:$H$44,0))*고양시_Modal_split!J$3 * 0.01</f>
        <v>33.989677534675018</v>
      </c>
      <c r="U47" s="207">
        <f>INDEX($A$44:$H$56,MATCH($L47,$B$44:$B$56,0),MATCH($M$43,$A$44:$H$44,0))*고양시_Modal_split!K$3 * 0.01</f>
        <v>0.16749184067678224</v>
      </c>
      <c r="V47" s="207">
        <f>INDEX($A$44:$H$56,MATCH($L47,$B$44:$B$56,0),MATCH($M$43,$A$44:$H$44,0))*고양시_Modal_split!L$3 * 0.01</f>
        <v>3.3721690589592161</v>
      </c>
      <c r="W47" s="207">
        <f>INDEX($A$44:$H$56,MATCH($L47,$B$44:$B$56,0),MATCH($M$43,$A$44:$H$44,0))*고양시_Modal_split!M$3 * 0.01</f>
        <v>0.25682082237106613</v>
      </c>
      <c r="X47" s="207">
        <f>INDEX($A$44:$H$56,MATCH($L47,$B$44:$B$56,0),MATCH($M$43,$A$44:$H$44,0))*고양시_Modal_split!N$3 * 0.01</f>
        <v>0.11166122711785485</v>
      </c>
      <c r="Y47" s="207">
        <f>INDEX($A$44:$H$56,MATCH($L47,$B$44:$B$56,0),MATCH($M$43,$A$44:$H$44,0))*고양시_Modal_split!O$3 * 0.01</f>
        <v>0.20099020881213872</v>
      </c>
      <c r="Z47" s="214">
        <f>INDEX($A$44:$H$56,MATCH($L47,$B$44:$B$56,0),MATCH($M$43,$A$44:$H$44,0))*고양시_Modal_split!P$3 * 0.01</f>
        <v>111.66122711785485</v>
      </c>
      <c r="AA47" s="213">
        <f>INDEX($A$44:$H$56,MATCH($L47,$B$44:$B$56,0),MATCH($AA$43,$A$44:$H$44,0))*고양시_Modal_split!C$4 * 0.01</f>
        <v>264.30826517266036</v>
      </c>
      <c r="AB47" s="207">
        <f>INDEX($A$44:$H$56,MATCH($L47,$B$44:$B$56,0),MATCH($AA$43,$A$44:$H$44,0))*고양시_Modal_split!D$4 * 0.01</f>
        <v>278.46143443124896</v>
      </c>
      <c r="AC47" s="207">
        <f>INDEX($A$44:$H$56,MATCH($L47,$B$44:$B$56,0),MATCH($AA$43,$A$44:$H$44,0))*고양시_Modal_split!E$4 * 0.01</f>
        <v>67.466334441247412</v>
      </c>
      <c r="AD47" s="207">
        <f>INDEX($A$44:$H$56,MATCH($L47,$B$44:$B$56,0),MATCH($AA$43,$A$44:$H$44,0))*고양시_Modal_split!F$4 * 0.01</f>
        <v>8.2487796292387436</v>
      </c>
      <c r="AE47" s="207">
        <f>INDEX($A$44:$H$56,MATCH($L47,$B$44:$B$56,0),MATCH($AA$43,$A$44:$H$44,0))*고양시_Modal_split!G$4 * 0.01</f>
        <v>101.6770625877744</v>
      </c>
      <c r="AF47" s="207">
        <f>INDEX($A$44:$H$56,MATCH($L47,$B$44:$B$56,0),MATCH($AA$43,$A$44:$H$44,0))*고양시_Modal_split!H$4 * 0.01</f>
        <v>0</v>
      </c>
      <c r="AG47" s="207">
        <f>INDEX($A$44:$H$56,MATCH($L47,$B$44:$B$56,0),MATCH($AA$43,$A$44:$H$44,0))*고양시_Modal_split!I$4 * 0.01</f>
        <v>30.21658222079034</v>
      </c>
      <c r="AH47" s="207">
        <f>INDEX($A$44:$H$56,MATCH($L47,$B$44:$B$56,0),MATCH($AA$43,$A$44:$H$44,0))*고양시_Modal_split!J$4 * 0.01</f>
        <v>40.896581109173141</v>
      </c>
      <c r="AI47" s="207">
        <f>INDEX($A$44:$H$56,MATCH($L47,$B$44:$B$56,0),MATCH($AA$43,$A$44:$H$44,0))*고양시_Modal_split!K$4 * 0.01</f>
        <v>0</v>
      </c>
      <c r="AJ47" s="207">
        <f>INDEX($A$44:$H$56,MATCH($L47,$B$44:$B$56,0),MATCH($AA$43,$A$44:$H$44,0))*고양시_Modal_split!L$4 * 0.01</f>
        <v>40.11511777587684</v>
      </c>
      <c r="AK47" s="207">
        <f>INDEX($A$44:$H$56,MATCH($L47,$B$44:$B$56,0),MATCH($AA$43,$A$44:$H$44,0))*고양시_Modal_split!M$4 * 0.01</f>
        <v>5.817560370094693</v>
      </c>
      <c r="AL47" s="207">
        <f>INDEX($A$44:$H$56,MATCH($L47,$B$44:$B$56,0),MATCH($AA$43,$A$44:$H$44,0))*고양시_Modal_split!N$4 * 0.01</f>
        <v>21.707314813786166</v>
      </c>
      <c r="AM47" s="207">
        <f>INDEX($A$44:$H$56,MATCH($L47,$B$44:$B$56,0),MATCH($AA$43,$A$44:$H$44,0))*고양시_Modal_split!O$4 * 0.01</f>
        <v>9.3775599995556238</v>
      </c>
      <c r="AN47" s="214">
        <f>INDEX($A$44:$H$56,MATCH($L47,$B$44:$B$56,0),MATCH($AA$43,$A$44:$H$44,0))*고양시_Modal_split!P$4 * 0.01</f>
        <v>868.29259255144677</v>
      </c>
      <c r="AO47" s="213">
        <f>INDEX($A$44:$H$56,MATCH($L47,$B$44:$B$56,0),MATCH($AO$43,$A$44:$H$44,0))*고양시_Modal_split!C$5 * 0.01</f>
        <v>2.3092425455515278E-2</v>
      </c>
      <c r="AP47" s="207">
        <f>INDEX($A$44:$H$56,MATCH($L47,$B$44:$B$56,0),MATCH($AO$43,$A$44:$H$44,0))*고양시_Modal_split!D$5 * 0.01</f>
        <v>28.203548956335993</v>
      </c>
      <c r="AQ47" s="207">
        <f>INDEX($A$44:$H$56,MATCH($L47,$B$44:$B$56,0),MATCH($AO$43,$A$44:$H$44,0))*고양시_Modal_split!E$5 * 0.01</f>
        <v>3.7910065122804255</v>
      </c>
      <c r="AR47" s="207">
        <f>INDEX($A$44:$H$56,MATCH($L47,$B$44:$B$56,0),MATCH($AO$43,$A$44:$H$44,0))*고양시_Modal_split!F$5 * 0.01</f>
        <v>0.8082348909430348</v>
      </c>
      <c r="AS47" s="207">
        <f>INDEX($A$44:$H$56,MATCH($L47,$B$44:$B$56,0),MATCH($AO$43,$A$44:$H$44,0))*고양시_Modal_split!G$5 * 0.01</f>
        <v>0.25016794243474888</v>
      </c>
      <c r="AT47" s="207">
        <f>INDEX($A$44:$H$56,MATCH($L47,$B$44:$B$56,0),MATCH($AO$43,$A$44:$H$44,0))*고양시_Modal_split!H$5 * 0.01</f>
        <v>2.6941163031434491E-2</v>
      </c>
      <c r="AU47" s="207">
        <f>INDEX($A$44:$H$56,MATCH($L47,$B$44:$B$56,0),MATCH($AO$43,$A$44:$H$44,0))*고양시_Modal_split!I$5 * 0.01</f>
        <v>1.0661003085296221</v>
      </c>
      <c r="AV47" s="207">
        <f>INDEX($A$44:$H$56,MATCH($L47,$B$44:$B$56,0),MATCH($AO$43,$A$44:$H$44,0))*고양시_Modal_split!J$5 * 0.01</f>
        <v>2.4131584601013469</v>
      </c>
      <c r="AW47" s="207">
        <f>INDEX($A$44:$H$56,MATCH($L47,$B$44:$B$56,0),MATCH($AO$43,$A$44:$H$44,0))*고양시_Modal_split!K$5 * 0.01</f>
        <v>7.6974751518384269E-3</v>
      </c>
      <c r="AX47" s="207">
        <f>INDEX($A$44:$H$56,MATCH($L47,$B$44:$B$56,0),MATCH($AO$43,$A$44:$H$44,0))*고양시_Modal_split!L$5 * 0.01</f>
        <v>0.98142808185939934</v>
      </c>
      <c r="AY47" s="207">
        <f>INDEX($A$44:$H$56,MATCH($L47,$B$44:$B$56,0),MATCH($AO$43,$A$44:$H$44,0))*고양시_Modal_split!M$5 * 0.01</f>
        <v>0.25786541758658732</v>
      </c>
      <c r="AZ47" s="207">
        <f>INDEX($A$44:$H$56,MATCH($L47,$B$44:$B$56,0),MATCH($AO$43,$A$44:$H$44,0))*고양시_Modal_split!N$5 * 0.01</f>
        <v>6.5428538790626614E-2</v>
      </c>
      <c r="BA47" s="207">
        <f>INDEX($A$44:$H$56,MATCH($L47,$B$44:$B$56,0),MATCH($AO$43,$A$44:$H$44,0))*고양시_Modal_split!O$5 * 0.01</f>
        <v>0.59270558669155893</v>
      </c>
      <c r="BB47" s="214">
        <f>INDEX($A$44:$H$56,MATCH($L47,$B$44:$B$56,0),MATCH($AO$43,$A$44:$H$44,0))*고양시_Modal_split!P$5 * 0.01</f>
        <v>38.487375759192126</v>
      </c>
      <c r="BC47" s="213">
        <f>INDEX($A$44:$H$56,MATCH($L47,$B$44:$B$56,0),MATCH($BC$43,$A$44:$H$44,0))*고양시_Modal_split!C$6 * 0.01</f>
        <v>0</v>
      </c>
      <c r="BD47" s="207">
        <f>INDEX($A$44:$H$56,MATCH($L47,$B$44:$B$56,0),MATCH($BC$43,$A$44:$H$44,0))*고양시_Modal_split!D$6 * 0.01</f>
        <v>8.6430904043896625E-2</v>
      </c>
      <c r="BE47" s="207">
        <f>INDEX($A$44:$H$56,MATCH($L47,$B$44:$B$56,0),MATCH($BC$43,$A$44:$H$44,0))*고양시_Modal_split!E$6 * 0.01</f>
        <v>4.4880194105634047E-4</v>
      </c>
      <c r="BF47" s="207">
        <f>INDEX($A$44:$H$56,MATCH($L47,$B$44:$B$56,0),MATCH($BC$43,$A$44:$H$44,0))*고양시_Modal_split!F$6 * 0.01</f>
        <v>1.2733450420668263E-3</v>
      </c>
      <c r="BG47" s="207">
        <f>INDEX($A$44:$H$56,MATCH($L47,$B$44:$B$56,0),MATCH($BC$43,$A$44:$H$44,0))*고양시_Modal_split!G$6 * 0.01</f>
        <v>0</v>
      </c>
      <c r="BH47" s="207">
        <f>INDEX($A$44:$H$56,MATCH($L47,$B$44:$B$56,0),MATCH($BC$43,$A$44:$H$44,0))*고양시_Modal_split!H$6 * 0.01</f>
        <v>5.542182109323647E-3</v>
      </c>
      <c r="BI47" s="207">
        <f>INDEX($A$44:$H$56,MATCH($L47,$B$44:$B$56,0),MATCH($BC$43,$A$44:$H$44,0))*고양시_Modal_split!I$6 * 0.01</f>
        <v>3.6947880728824306E-3</v>
      </c>
      <c r="BJ47" s="207">
        <f>INDEX($A$44:$H$56,MATCH($L47,$B$44:$B$56,0),MATCH($BC$43,$A$44:$H$44,0))*고양시_Modal_split!J$6 * 0.01</f>
        <v>5.1560036949263302E-3</v>
      </c>
      <c r="BK47" s="207">
        <f>INDEX($A$44:$H$56,MATCH($L47,$B$44:$B$56,0),MATCH($BC$43,$A$44:$H$44,0))*고양시_Modal_split!K$6 * 0.01</f>
        <v>0</v>
      </c>
      <c r="BL47" s="207">
        <f>INDEX($A$44:$H$56,MATCH($L47,$B$44:$B$56,0),MATCH($BC$43,$A$44:$H$44,0))*고양시_Modal_split!L$6 * 0.01</f>
        <v>7.9323133768097382E-4</v>
      </c>
      <c r="BM47" s="207">
        <f>INDEX($A$44:$H$56,MATCH($L47,$B$44:$B$56,0),MATCH($BC$43,$A$44:$H$44,0))*고양시_Modal_split!M$6 * 0.01</f>
        <v>9.4979015432853449E-4</v>
      </c>
      <c r="BN47" s="207">
        <f>INDEX($A$44:$H$56,MATCH($L47,$B$44:$B$56,0),MATCH($BC$43,$A$44:$H$44,0))*고양시_Modal_split!N$6 * 0.01</f>
        <v>0</v>
      </c>
      <c r="BO47" s="207">
        <f>INDEX($A$44:$H$56,MATCH($L47,$B$44:$B$56,0),MATCH($BC$43,$A$44:$H$44,0))*고양시_Modal_split!O$6 * 0.01</f>
        <v>8.3498035545365675E-5</v>
      </c>
      <c r="BP47" s="214">
        <f>INDEX($A$44:$H$56,MATCH($L47,$B$44:$B$56,0),MATCH($BC$43,$A$44:$H$44,0))*고양시_Modal_split!P$6 * 0.01</f>
        <v>0.10437254443170708</v>
      </c>
      <c r="BQ47" s="213">
        <f>INDEX($A$44:$H$56,MATCH($L47,$B$44:$B$56,0),MATCH($BQ$43,$A$44:$H$44,0))*고양시_Modal_split!C$7 * 0.01</f>
        <v>0</v>
      </c>
      <c r="BR47" s="207">
        <f>INDEX($A$44:$H$56,MATCH($L47,$B$44:$B$56,0),MATCH($BQ$43,$A$44:$H$44,0))*고양시_Modal_split!D$7 * 0.01</f>
        <v>0.18121856981195916</v>
      </c>
      <c r="BS47" s="207">
        <f>INDEX($A$44:$H$56,MATCH($L47,$B$44:$B$56,0),MATCH($BQ$43,$A$44:$H$44,0))*고양시_Modal_split!E$7 * 0.01</f>
        <v>8.84209405577281E-3</v>
      </c>
      <c r="BT47" s="207">
        <f>INDEX($A$44:$H$56,MATCH($L47,$B$44:$B$56,0),MATCH($BQ$43,$A$44:$H$44,0))*고양시_Modal_split!F$7 * 0.01</f>
        <v>2.9572220922317095E-3</v>
      </c>
      <c r="BU47" s="207">
        <f>INDEX($A$44:$H$56,MATCH($L47,$B$44:$B$56,0),MATCH($BQ$43,$A$44:$H$44,0))*고양시_Modal_split!G$7 * 0.01</f>
        <v>1.2420332787373178E-3</v>
      </c>
      <c r="BV47" s="207">
        <f>INDEX($A$44:$H$56,MATCH($L47,$B$44:$B$56,0),MATCH($BQ$43,$A$44:$H$44,0))*고양시_Modal_split!H$7 * 0.01</f>
        <v>1.6530871495575254E-2</v>
      </c>
      <c r="BW47" s="207">
        <f>INDEX($A$44:$H$56,MATCH($L47,$B$44:$B$56,0),MATCH($BQ$43,$A$44:$H$44,0))*고양시_Modal_split!I$7 * 0.01</f>
        <v>5.5211336461966021E-2</v>
      </c>
      <c r="BX47" s="207">
        <f>INDEX($A$44:$H$56,MATCH($L47,$B$44:$B$56,0),MATCH($BQ$43,$A$44:$H$44,0))*고양시_Modal_split!J$7 * 0.01</f>
        <v>5.9144441844634192E-5</v>
      </c>
      <c r="BY47" s="207">
        <f>INDEX($A$44:$H$56,MATCH($L47,$B$44:$B$56,0),MATCH($BQ$43,$A$44:$H$44,0))*고양시_Modal_split!K$7 * 0.01</f>
        <v>2.2770610110184161E-2</v>
      </c>
      <c r="BZ47" s="207">
        <f>INDEX($A$44:$H$56,MATCH($L47,$B$44:$B$56,0),MATCH($BQ$43,$A$44:$H$44,0))*고양시_Modal_split!L$7 * 0.01</f>
        <v>2.0700554645621964E-4</v>
      </c>
      <c r="CA47" s="207">
        <f>INDEX($A$44:$H$56,MATCH($L47,$B$44:$B$56,0),MATCH($BQ$43,$A$44:$H$44,0))*고양시_Modal_split!M$7 * 0.01</f>
        <v>5.5300053124732974E-3</v>
      </c>
      <c r="CB47" s="207">
        <f>INDEX($A$44:$H$56,MATCH($L47,$B$44:$B$56,0),MATCH($BQ$43,$A$44:$H$44,0))*고양시_Modal_split!N$7 * 0.01</f>
        <v>1.1533166159703667E-3</v>
      </c>
      <c r="CC47" s="207">
        <f>INDEX($A$44:$H$56,MATCH($L47,$B$44:$B$56,0),MATCH($BQ$43,$A$44:$H$44,0))*고양시_Modal_split!O$7 * 0.01</f>
        <v>0</v>
      </c>
      <c r="CD47" s="214">
        <f>INDEX($A$44:$H$56,MATCH($L47,$B$44:$B$56,0),MATCH($BQ$43,$A$44:$H$44,0))*고양시_Modal_split!P$7 * 0.01</f>
        <v>0.29572220922317094</v>
      </c>
      <c r="CE47" s="218">
        <f t="shared" si="24"/>
        <v>264.64400903404584</v>
      </c>
      <c r="CF47" s="208">
        <f t="shared" si="7"/>
        <v>359.44690797496798</v>
      </c>
      <c r="CG47" s="208">
        <f t="shared" si="8"/>
        <v>77.620155672530629</v>
      </c>
      <c r="CH47" s="208">
        <f t="shared" si="9"/>
        <v>19.300579614023363</v>
      </c>
      <c r="CI47" s="208">
        <f t="shared" si="10"/>
        <v>102.95575585297215</v>
      </c>
      <c r="CJ47" s="208">
        <f t="shared" si="11"/>
        <v>6.018033934811888E-2</v>
      </c>
      <c r="CK47" s="208">
        <f t="shared" si="12"/>
        <v>34.445770767731176</v>
      </c>
      <c r="CL47" s="208">
        <f t="shared" si="13"/>
        <v>77.304632252086265</v>
      </c>
      <c r="CM47" s="208">
        <f t="shared" si="14"/>
        <v>0.19795992593880485</v>
      </c>
      <c r="CN47" s="208">
        <f t="shared" si="15"/>
        <v>44.469715153579592</v>
      </c>
      <c r="CO47" s="208">
        <f t="shared" si="16"/>
        <v>6.3387264055191483</v>
      </c>
      <c r="CP47" s="208">
        <f t="shared" si="17"/>
        <v>21.885557896310615</v>
      </c>
      <c r="CQ47" s="208">
        <f t="shared" si="18"/>
        <v>10.171339293094865</v>
      </c>
      <c r="CR47" s="219">
        <f t="shared" si="19"/>
        <v>1018.8412901821487</v>
      </c>
      <c r="CS47" s="225">
        <f t="shared" si="25"/>
        <v>0</v>
      </c>
      <c r="CV47" s="265"/>
      <c r="CW47" s="266" t="s">
        <v>14</v>
      </c>
      <c r="CX47" s="267">
        <f>INDEX($M$43:$Z$56,MATCH($CW47,$L$43:$L$56,0),MATCH(CX$44,$M$44:$Z$44,0))/INDEX(고양시_재차인원!$D$4:$H$35,MATCH("고양시",고양시_재차인원!$B$4:$B$35,0),MATCH('A.일산테크노밸리(859991)_수정'!$CX$43,고양시_재차인원!$D$4:$H$4,0))</f>
        <v>46.887745637077799</v>
      </c>
      <c r="CY47" s="267">
        <f>INDEX($M$43:$Z$56,MATCH($CW47,$L$43:$L$56,0),MATCH(CY$44,$M$44:$Z$44,0))/INDEX(고양시_재차인원!$K$4:$O$20,MATCH("경기도",고양시_재차인원!$K$4:$K$20,0),MATCH('A.일산테크노밸리(859991)_수정'!CY$44,고양시_재차인원!$K$4:$O$4,0))</f>
        <v>3.8784726334788069E-4</v>
      </c>
      <c r="CZ47" s="267">
        <f>INDEX($M$43:$Z$56,MATCH($CW47,$L$43:$L$56,0),MATCH(CZ$44,$M$44:$Z$44,0))/INDEX(고양시_재차인원!$K$4:$O$20,MATCH("경기도",고양시_재차인원!$K$4:$K$20,0),MATCH('A.일산테크노밸리(859991)_수정'!CZ$44,고양시_재차인원!$K$4:$O$4,0))</f>
        <v>0.10782153921071083</v>
      </c>
      <c r="DA47" s="267">
        <f>INDEX($M$43:$Z$56,MATCH($CW47,$L$43:$L$56,0),MATCH(DA$44,$M$44:$Z$44,0))/INDEX(고양시_재차인원!$K$4:$O$20,MATCH("경기도",고양시_재차인원!$K$4:$K$20,0),MATCH('A.일산테크노밸리(859991)_수정'!DA$44,고양시_재차인원!$K$4:$O$4,0))</f>
        <v>2.2481127059728108</v>
      </c>
      <c r="DB47" s="268">
        <f>INDEX($AA$43:$AN$56,MATCH($CW47,$L$43:$L$56,0),MATCH(DB$44,$AA$44:$AN$44,0))/INDEX(고양시_재차인원!$D$4:$H$35,MATCH("고양시",고양시_재차인원!$B$4:$B$35,0),MATCH('A.일산테크노밸리(859991)_수정'!$DB$43,고양시_재차인원!$D$4:$H$4,0))</f>
        <v>197.4903790292546</v>
      </c>
      <c r="DC47" s="267">
        <f>INDEX($AA$43:$AN$56,MATCH($CW47,$L$43:$L$56,0),MATCH(DC$44,$AA$44:$AN$44,0))/INDEX(고양시_재차인원!$K$4:$O$20,MATCH("경기도",고양시_재차인원!$K$4:$K$20,0),MATCH('A.일산테크노밸리(859991)_수정'!DC$44,고양시_재차인원!$K$4:$O$4,0))</f>
        <v>0</v>
      </c>
      <c r="DD47" s="267">
        <f>INDEX($AA$43:$AN$56,MATCH($CW47,$L$43:$L$56,0),MATCH(DD$44,$AA$44:$AN$44,0))/INDEX(고양시_재차인원!$K$4:$O$20,MATCH("경기도",고양시_재차인원!$K$4:$K$20,0),MATCH('A.일산테크노밸리(859991)_수정'!DD$44,고양시_재차인원!$K$4:$O$4,0))</f>
        <v>1.0495513102045968</v>
      </c>
      <c r="DE47" s="267">
        <f>INDEX($AA$43:$AN$56,MATCH($CW47,$L$43:$L$56,0),MATCH(DE$44,$AA$44:$AN$44,0))/INDEX(고양시_재차인원!$K$4:$O$20,MATCH("경기도",고양시_재차인원!$K$4:$K$20,0),MATCH('A.일산테크노밸리(859991)_수정'!DE$44,고양시_재차인원!$K$4:$O$4,0))</f>
        <v>26.743411850584561</v>
      </c>
      <c r="DF47" s="268">
        <f>INDEX($AO$43:$BB$56,MATCH($CW47,$L$43:$L$56,0),MATCH(DF$44,$AO$44:$BB$44,0))/INDEX(고양시_재차인원!$D$4:$H$35,MATCH("고양시",고양시_재차인원!$B$4:$B$35,0),MATCH('A.일산테크노밸리(859991)_수정'!$DF$43,고양시_재차인원!$D$4:$H$4,0))</f>
        <v>21.695037658719993</v>
      </c>
      <c r="DG47" s="267">
        <f>INDEX($AO$43:$BB$56,MATCH($CW47,$L$43:$L$56,0),MATCH(DG$44,$AO$44:$BB$44,0))/INDEX(고양시_재차인원!$K$4:$O$20,MATCH("경기도",고양시_재차인원!$K$4:$K$20,0),MATCH('A.일산테크노밸리(859991)_수정'!DG$44,고양시_재차인원!$K$4:$O$4,0))</f>
        <v>9.3578197399911401E-4</v>
      </c>
      <c r="DH47" s="267">
        <f>INDEX($AO$43:$BB$56,MATCH($CW47,$L$43:$L$56,0),MATCH(DH$44,$AO$44:$BB$44,0))/INDEX(고양시_재차인원!$K$4:$O$20,MATCH("경기도",고양시_재차인원!$K$4:$K$20,0),MATCH('A.일산테크노밸리(859991)_수정'!DH$44,고양시_재차인원!$K$4:$O$4,0))</f>
        <v>3.7030229542536375E-2</v>
      </c>
      <c r="DI47" s="267">
        <f>INDEX($AO$43:$BB$56,MATCH($CW47,$L$43:$L$56,0),MATCH(DI$44,$AO$44:$BB$44,0))/INDEX(고양시_재차인원!$K$4:$O$20,MATCH("경기도",고양시_재차인원!$K$4:$K$20,0),MATCH('A.일산테크노밸리(859991)_수정'!DI$44,고양시_재차인원!$K$4:$O$4,0))</f>
        <v>0.65428538790626622</v>
      </c>
      <c r="DJ47" s="268">
        <f>INDEX($BC$43:$BP$56,MATCH($CW47,$L$43:$L$56,0),MATCH(DJ$44,$BC$44:$BP$44,0))/INDEX(고양시_재차인원!$D$4:$H$35,MATCH("고양시",고양시_재차인원!$B$4:$B$35,0),MATCH('A.일산테크노밸리(859991)_수정'!$DJ$43,고양시_재차인원!$D$4:$H$4,0))</f>
        <v>6.3552135326394574E-2</v>
      </c>
      <c r="DK47" s="267">
        <f>INDEX($BC$43:$BP$56,MATCH($CW47,$L$43:$L$56,0),MATCH(DK$44,$BC$44:$BP$44,0))/INDEX(고양시_재차인원!$K$4:$O$20,MATCH("경기도",고양시_재차인원!$K$4:$K$20,0),MATCH('A.일산테크노밸리(859991)_수정'!DK$44,고양시_재차인원!$K$4:$O$4,0))</f>
        <v>1.9250372036553134E-4</v>
      </c>
      <c r="DL47" s="267">
        <f>INDEX($BC$43:$BP$56,MATCH($CW47,$L$43:$L$56,0),MATCH(DL$44,$BC$44:$BP$44,0))/INDEX(고양시_재차인원!$K$4:$O$20,MATCH("경기도",고양시_재차인원!$K$4:$K$20,0),MATCH('A.일산테크노밸리(859991)_수정'!DL$44,고양시_재차인원!$K$4:$O$4,0))</f>
        <v>1.2833581357702087E-4</v>
      </c>
      <c r="DM47" s="267">
        <f>INDEX($BC$43:$BP$56,MATCH($CW47,$L$43:$L$56,0),MATCH(DM$44,$BC$44:$BP$44,0))/INDEX(고양시_재차인원!$K$4:$O$20,MATCH("경기도",고양시_재차인원!$K$4:$K$20,0),MATCH('A.일산테크노밸리(859991)_수정'!DM$44,고양시_재차인원!$K$4:$O$4,0))</f>
        <v>5.2882089178731592E-4</v>
      </c>
      <c r="DN47" s="268">
        <f>INDEX($BQ$43:$CD$56,MATCH($CW47,$L$43:$L$56,0),MATCH(DN$44,$BQ$44:$CD$44,0))/INDEX(고양시_재차인원!$D$4:$H$35,MATCH("고양시",고양시_재차인원!$B$4:$B$35,0),MATCH('A.일산테크노밸리(859991)_수정'!$DN$43,고양시_재차인원!$D$4:$H$4,0))</f>
        <v>0.14382426175552315</v>
      </c>
      <c r="DO47" s="267">
        <f>INDEX($BQ$43:$CD$56,MATCH($CW47,$L$43:$L$56,0),MATCH(DO$44,$BQ$44:$CD$44,0))/INDEX(고양시_재차인원!$K$4:$O$20,MATCH("경기도",고양시_재차인원!$K$4:$K$20,0),MATCH('A.일산테크노밸리(859991)_수정'!DO$44,고양시_재차인원!$K$4:$O$4,0))</f>
        <v>5.7418796441734122E-4</v>
      </c>
      <c r="DP47" s="267">
        <f>INDEX($BQ$43:$CD$56,MATCH($CW47,$L$43:$L$56,0),MATCH(DP$44,$BQ$44:$CD$44,0))/INDEX(고양시_재차인원!$K$4:$O$20,MATCH("경기도",고양시_재차인원!$K$4:$K$20,0),MATCH('A.일산테크노밸리(859991)_수정'!DP$44,고양시_재차인원!$K$4:$O$4,0))</f>
        <v>1.9177261709609594E-3</v>
      </c>
      <c r="DQ47" s="267">
        <f>INDEX($BQ$43:$CD$56,MATCH($CW47,$L$43:$L$56,0),MATCH(DQ$44,$BQ$44:$CD$44,0))/INDEX(고양시_재차인원!$K$4:$O$20,MATCH("경기도",고양시_재차인원!$K$4:$K$20,0),MATCH('A.일산테크노밸리(859991)_수정'!DQ$44,고양시_재차인원!$K$4:$O$4,0))</f>
        <v>1.3800369763747975E-4</v>
      </c>
      <c r="DR47" s="269">
        <f t="shared" si="26"/>
        <v>266.28053872213428</v>
      </c>
      <c r="DS47" s="270">
        <f t="shared" si="20"/>
        <v>2.0903209221298669E-3</v>
      </c>
      <c r="DT47" s="270">
        <f t="shared" si="21"/>
        <v>1.1964491409423821</v>
      </c>
      <c r="DU47" s="270">
        <f t="shared" si="22"/>
        <v>29.646476769053063</v>
      </c>
      <c r="DW47" s="278"/>
      <c r="DX47" s="278" t="s">
        <v>591</v>
      </c>
      <c r="DY47" s="281">
        <f t="shared" si="27"/>
        <v>295.92701549118732</v>
      </c>
      <c r="DZ47" s="281">
        <f t="shared" si="28"/>
        <v>1.198539461864512</v>
      </c>
      <c r="EC47" s="412" t="s">
        <v>13</v>
      </c>
      <c r="ED47" s="412" t="s">
        <v>76</v>
      </c>
      <c r="EE47" s="412">
        <v>3134.9627</v>
      </c>
      <c r="EF47" s="412">
        <v>0.77555789932683494</v>
      </c>
      <c r="EG47" s="413">
        <v>859003</v>
      </c>
      <c r="EH47" s="414">
        <f t="shared" si="29"/>
        <v>29.93144036309047</v>
      </c>
      <c r="EI47" s="415">
        <f t="shared" si="30"/>
        <v>0.12122587850272326</v>
      </c>
      <c r="EJ47" s="402">
        <v>0</v>
      </c>
      <c r="EM47" s="278" t="s">
        <v>13</v>
      </c>
      <c r="EN47" s="278" t="s">
        <v>76</v>
      </c>
      <c r="EO47" s="278">
        <v>3134.9627</v>
      </c>
      <c r="EP47" s="278">
        <v>0.77555789932683494</v>
      </c>
      <c r="EQ47" s="289">
        <v>859003</v>
      </c>
      <c r="ER47" s="290">
        <f t="shared" si="31"/>
        <v>29.93144036309047</v>
      </c>
      <c r="ES47" s="291">
        <f t="shared" si="23"/>
        <v>0.12122587850272326</v>
      </c>
      <c r="ET47" s="402">
        <v>0</v>
      </c>
      <c r="EV47" s="34"/>
      <c r="EW47" s="34"/>
      <c r="EX47" s="34"/>
      <c r="EY47" s="34"/>
      <c r="EZ47" s="378"/>
      <c r="FA47" s="401"/>
      <c r="FB47" s="402"/>
      <c r="FC47" s="402"/>
    </row>
    <row r="48" spans="1:159" ht="27" customHeight="1">
      <c r="A48" s="205"/>
      <c r="B48" s="205" t="s">
        <v>15</v>
      </c>
      <c r="C48" s="400">
        <f>'A.일산테크노밸리(859991)_수정'!$P31*KTDB_TripDistribution_2035!L$12 * (1 + KTDB_발생량도착량_증가율!$D$7*5) * (1 + KTDB_발생량도착량_증가율!$E$7*5)</f>
        <v>3150.7365904743342</v>
      </c>
      <c r="D48" s="400">
        <f>'A.일산테크노밸리(859991)_수정'!$P31*KTDB_TripDistribution_2035!M$12 * (1 + KTDB_발생량도착량_증가율!$D$7*5) * (1 + KTDB_발생량도착량_증가율!$E$7*5)</f>
        <v>24500.547891186594</v>
      </c>
      <c r="E48" s="400">
        <f>'A.일산테크노밸리(859991)_수정'!$P31*KTDB_TripDistribution_2035!N$12 * (1 + KTDB_발생량도착량_증가율!$D$7*5) * (1 + KTDB_발생량도착량_증가율!$E$7*5)</f>
        <v>1085.995436426932</v>
      </c>
      <c r="F48" s="400">
        <f>'A.일산테크노밸리(859991)_수정'!$P31*KTDB_TripDistribution_2035!O$12 * (1 + KTDB_발생량도착량_증가율!$D$7*5) * (1 + KTDB_발생량도착량_증가율!$E$7*5)</f>
        <v>2.9450723699713306</v>
      </c>
      <c r="G48" s="400">
        <f>'A.일산테크노밸리(859991)_수정'!$P31*KTDB_TripDistribution_2035!P$12 * (1 + KTDB_발생량도착량_증가율!$D$7*5) * (1 + KTDB_발생량도착량_증가율!$E$7*5)</f>
        <v>8.344371714918795</v>
      </c>
      <c r="H48" s="400">
        <f>'A.일산테크노밸리(859991)_수정'!$P31*KTDB_TripDistribution_2035!Q$12 * (1 + KTDB_발생량도착량_증가율!$D$7*5) * (1 + KTDB_발생량도착량_증가율!$E$7*5)</f>
        <v>28748.569362172748</v>
      </c>
      <c r="J48" s="230">
        <f t="shared" si="6"/>
        <v>28748.569362172751</v>
      </c>
      <c r="K48" s="206"/>
      <c r="L48" s="209" t="s">
        <v>15</v>
      </c>
      <c r="M48" s="213">
        <f>INDEX($A$44:$H$56,MATCH($L48,$B$44:$B$56,0),MATCH($M$43,$A$44:$H$44,0))*고양시_Modal_split!C$3 * 0.01</f>
        <v>8.8220624533281349</v>
      </c>
      <c r="N48" s="207">
        <f>INDEX($A$44:$H$56,MATCH($L48,$B$44:$B$56,0),MATCH($M$43,$A$44:$H$44,0))*고양시_Modal_split!D$3 * 0.01</f>
        <v>1481.7914185000793</v>
      </c>
      <c r="O48" s="207">
        <f>INDEX($A$44:$H$56,MATCH($L48,$B$44:$B$56,0),MATCH($M$43,$A$44:$H$44,0))*고양시_Modal_split!E$3 * 0.01</f>
        <v>179.2769119979896</v>
      </c>
      <c r="P48" s="207">
        <f>INDEX($A$44:$H$56,MATCH($L48,$B$44:$B$56,0),MATCH($M$43,$A$44:$H$44,0))*고양시_Modal_split!F$3 * 0.01</f>
        <v>288.92254534649646</v>
      </c>
      <c r="Q48" s="207">
        <f>INDEX($A$44:$H$56,MATCH($L48,$B$44:$B$56,0),MATCH($M$43,$A$44:$H$44,0))*고양시_Modal_split!G$3 * 0.01</f>
        <v>28.98677663236387</v>
      </c>
      <c r="R48" s="207">
        <f>INDEX($A$44:$H$56,MATCH($L48,$B$44:$B$56,0),MATCH($M$43,$A$44:$H$44,0))*고양시_Modal_split!H$3 * 0.01</f>
        <v>0.3150736590474334</v>
      </c>
      <c r="S48" s="207">
        <f>INDEX($A$44:$H$56,MATCH($L48,$B$44:$B$56,0),MATCH($M$43,$A$44:$H$44,0))*고양시_Modal_split!I$3 * 0.01</f>
        <v>87.590477215186496</v>
      </c>
      <c r="T48" s="207">
        <f>INDEX($A$44:$H$56,MATCH($L48,$B$44:$B$56,0),MATCH($M$43,$A$44:$H$44,0))*고양시_Modal_split!J$3 * 0.01</f>
        <v>959.08421814038741</v>
      </c>
      <c r="U48" s="207">
        <f>INDEX($A$44:$H$56,MATCH($L48,$B$44:$B$56,0),MATCH($M$43,$A$44:$H$44,0))*고양시_Modal_split!K$3 * 0.01</f>
        <v>4.7261048857115009</v>
      </c>
      <c r="V48" s="207">
        <f>INDEX($A$44:$H$56,MATCH($L48,$B$44:$B$56,0),MATCH($M$43,$A$44:$H$44,0))*고양시_Modal_split!L$3 * 0.01</f>
        <v>95.152245032324899</v>
      </c>
      <c r="W48" s="207">
        <f>INDEX($A$44:$H$56,MATCH($L48,$B$44:$B$56,0),MATCH($M$43,$A$44:$H$44,0))*고양시_Modal_split!M$3 * 0.01</f>
        <v>7.2466941580909676</v>
      </c>
      <c r="X48" s="207">
        <f>INDEX($A$44:$H$56,MATCH($L48,$B$44:$B$56,0),MATCH($M$43,$A$44:$H$44,0))*고양시_Modal_split!N$3 * 0.01</f>
        <v>3.1507365904743345</v>
      </c>
      <c r="Y48" s="207">
        <f>INDEX($A$44:$H$56,MATCH($L48,$B$44:$B$56,0),MATCH($M$43,$A$44:$H$44,0))*고양시_Modal_split!O$3 * 0.01</f>
        <v>5.6713258628538021</v>
      </c>
      <c r="Z48" s="214">
        <f>INDEX($A$44:$H$56,MATCH($L48,$B$44:$B$56,0),MATCH($M$43,$A$44:$H$44,0))*고양시_Modal_split!P$3 * 0.01</f>
        <v>3150.7365904743342</v>
      </c>
      <c r="AA48" s="213">
        <f>INDEX($A$44:$H$56,MATCH($L48,$B$44:$B$56,0),MATCH($AA$43,$A$44:$H$44,0))*고양시_Modal_split!C$4 * 0.01</f>
        <v>7457.9667780771997</v>
      </c>
      <c r="AB48" s="207">
        <f>INDEX($A$44:$H$56,MATCH($L48,$B$44:$B$56,0),MATCH($AA$43,$A$44:$H$44,0))*고양시_Modal_split!D$4 * 0.01</f>
        <v>7857.3257087035408</v>
      </c>
      <c r="AC48" s="207">
        <f>INDEX($A$44:$H$56,MATCH($L48,$B$44:$B$56,0),MATCH($AA$43,$A$44:$H$44,0))*고양시_Modal_split!E$4 * 0.01</f>
        <v>1903.6925711451986</v>
      </c>
      <c r="AD48" s="207">
        <f>INDEX($A$44:$H$56,MATCH($L48,$B$44:$B$56,0),MATCH($AA$43,$A$44:$H$44,0))*고양시_Modal_split!F$4 * 0.01</f>
        <v>232.75520496627266</v>
      </c>
      <c r="AE48" s="207">
        <f>INDEX($A$44:$H$56,MATCH($L48,$B$44:$B$56,0),MATCH($AA$43,$A$44:$H$44,0))*고양시_Modal_split!G$4 * 0.01</f>
        <v>2869.0141580579502</v>
      </c>
      <c r="AF48" s="207">
        <f>INDEX($A$44:$H$56,MATCH($L48,$B$44:$B$56,0),MATCH($AA$43,$A$44:$H$44,0))*고양시_Modal_split!H$4 * 0.01</f>
        <v>0</v>
      </c>
      <c r="AG48" s="207">
        <f>INDEX($A$44:$H$56,MATCH($L48,$B$44:$B$56,0),MATCH($AA$43,$A$44:$H$44,0))*고양시_Modal_split!I$4 * 0.01</f>
        <v>852.6190666132934</v>
      </c>
      <c r="AH48" s="207">
        <f>INDEX($A$44:$H$56,MATCH($L48,$B$44:$B$56,0),MATCH($AA$43,$A$44:$H$44,0))*고양시_Modal_split!J$4 * 0.01</f>
        <v>1153.9758056748885</v>
      </c>
      <c r="AI48" s="207">
        <f>INDEX($A$44:$H$56,MATCH($L48,$B$44:$B$56,0),MATCH($AA$43,$A$44:$H$44,0))*고양시_Modal_split!K$4 * 0.01</f>
        <v>0</v>
      </c>
      <c r="AJ48" s="207">
        <f>INDEX($A$44:$H$56,MATCH($L48,$B$44:$B$56,0),MATCH($AA$43,$A$44:$H$44,0))*고양시_Modal_split!L$4 * 0.01</f>
        <v>1131.9253125728208</v>
      </c>
      <c r="AK48" s="207">
        <f>INDEX($A$44:$H$56,MATCH($L48,$B$44:$B$56,0),MATCH($AA$43,$A$44:$H$44,0))*고양시_Modal_split!M$4 * 0.01</f>
        <v>164.15367087095021</v>
      </c>
      <c r="AL48" s="207">
        <f>INDEX($A$44:$H$56,MATCH($L48,$B$44:$B$56,0),MATCH($AA$43,$A$44:$H$44,0))*고양시_Modal_split!N$4 * 0.01</f>
        <v>612.51369727966483</v>
      </c>
      <c r="AM48" s="207">
        <f>INDEX($A$44:$H$56,MATCH($L48,$B$44:$B$56,0),MATCH($AA$43,$A$44:$H$44,0))*고양시_Modal_split!O$4 * 0.01</f>
        <v>264.60591722481524</v>
      </c>
      <c r="AN48" s="214">
        <f>INDEX($A$44:$H$56,MATCH($L48,$B$44:$B$56,0),MATCH($AA$43,$A$44:$H$44,0))*고양시_Modal_split!P$4 * 0.01</f>
        <v>24500.547891186594</v>
      </c>
      <c r="AO48" s="213">
        <f>INDEX($A$44:$H$56,MATCH($L48,$B$44:$B$56,0),MATCH($AO$43,$A$44:$H$44,0))*고양시_Modal_split!C$5 * 0.01</f>
        <v>0.65159726185615907</v>
      </c>
      <c r="AP48" s="207">
        <f>INDEX($A$44:$H$56,MATCH($L48,$B$44:$B$56,0),MATCH($AO$43,$A$44:$H$44,0))*고양시_Modal_split!D$5 * 0.01</f>
        <v>795.8174558136559</v>
      </c>
      <c r="AQ48" s="207">
        <f>INDEX($A$44:$H$56,MATCH($L48,$B$44:$B$56,0),MATCH($AO$43,$A$44:$H$44,0))*고양시_Modal_split!E$5 * 0.01</f>
        <v>106.97055048805279</v>
      </c>
      <c r="AR48" s="207">
        <f>INDEX($A$44:$H$56,MATCH($L48,$B$44:$B$56,0),MATCH($AO$43,$A$44:$H$44,0))*고양시_Modal_split!F$5 * 0.01</f>
        <v>22.805904164965572</v>
      </c>
      <c r="AS48" s="207">
        <f>INDEX($A$44:$H$56,MATCH($L48,$B$44:$B$56,0),MATCH($AO$43,$A$44:$H$44,0))*고양시_Modal_split!G$5 * 0.01</f>
        <v>7.058970336775058</v>
      </c>
      <c r="AT48" s="207">
        <f>INDEX($A$44:$H$56,MATCH($L48,$B$44:$B$56,0),MATCH($AO$43,$A$44:$H$44,0))*고양시_Modal_split!H$5 * 0.01</f>
        <v>0.76019680549885238</v>
      </c>
      <c r="AU48" s="207">
        <f>INDEX($A$44:$H$56,MATCH($L48,$B$44:$B$56,0),MATCH($AO$43,$A$44:$H$44,0))*고양시_Modal_split!I$5 * 0.01</f>
        <v>30.082073589026017</v>
      </c>
      <c r="AV48" s="207">
        <f>INDEX($A$44:$H$56,MATCH($L48,$B$44:$B$56,0),MATCH($AO$43,$A$44:$H$44,0))*고양시_Modal_split!J$5 * 0.01</f>
        <v>68.091913863968642</v>
      </c>
      <c r="AW48" s="207">
        <f>INDEX($A$44:$H$56,MATCH($L48,$B$44:$B$56,0),MATCH($AO$43,$A$44:$H$44,0))*고양시_Modal_split!K$5 * 0.01</f>
        <v>0.21719908728538642</v>
      </c>
      <c r="AX48" s="207">
        <f>INDEX($A$44:$H$56,MATCH($L48,$B$44:$B$56,0),MATCH($AO$43,$A$44:$H$44,0))*고양시_Modal_split!L$5 * 0.01</f>
        <v>27.692883628886761</v>
      </c>
      <c r="AY48" s="207">
        <f>INDEX($A$44:$H$56,MATCH($L48,$B$44:$B$56,0),MATCH($AO$43,$A$44:$H$44,0))*고양시_Modal_split!M$5 * 0.01</f>
        <v>7.2761694240604449</v>
      </c>
      <c r="AZ48" s="207">
        <f>INDEX($A$44:$H$56,MATCH($L48,$B$44:$B$56,0),MATCH($AO$43,$A$44:$H$44,0))*고양시_Modal_split!N$5 * 0.01</f>
        <v>1.8461922419257843</v>
      </c>
      <c r="BA48" s="207">
        <f>INDEX($A$44:$H$56,MATCH($L48,$B$44:$B$56,0),MATCH($AO$43,$A$44:$H$44,0))*고양시_Modal_split!O$5 * 0.01</f>
        <v>16.724329720974755</v>
      </c>
      <c r="BB48" s="214">
        <f>INDEX($A$44:$H$56,MATCH($L48,$B$44:$B$56,0),MATCH($AO$43,$A$44:$H$44,0))*고양시_Modal_split!P$5 * 0.01</f>
        <v>1085.995436426932</v>
      </c>
      <c r="BC48" s="213">
        <f>INDEX($A$44:$H$56,MATCH($L48,$B$44:$B$56,0),MATCH($BC$43,$A$44:$H$44,0))*고양시_Modal_split!C$6 * 0.01</f>
        <v>0</v>
      </c>
      <c r="BD48" s="207">
        <f>INDEX($A$44:$H$56,MATCH($L48,$B$44:$B$56,0),MATCH($BC$43,$A$44:$H$44,0))*고양시_Modal_split!D$6 * 0.01</f>
        <v>2.4388144295732586</v>
      </c>
      <c r="BE48" s="207">
        <f>INDEX($A$44:$H$56,MATCH($L48,$B$44:$B$56,0),MATCH($BC$43,$A$44:$H$44,0))*고양시_Modal_split!E$6 * 0.01</f>
        <v>1.2663811190876721E-2</v>
      </c>
      <c r="BF48" s="207">
        <f>INDEX($A$44:$H$56,MATCH($L48,$B$44:$B$56,0),MATCH($BC$43,$A$44:$H$44,0))*고양시_Modal_split!F$6 * 0.01</f>
        <v>3.5929882913650235E-2</v>
      </c>
      <c r="BG48" s="207">
        <f>INDEX($A$44:$H$56,MATCH($L48,$B$44:$B$56,0),MATCH($BC$43,$A$44:$H$44,0))*고양시_Modal_split!G$6 * 0.01</f>
        <v>0</v>
      </c>
      <c r="BH48" s="207">
        <f>INDEX($A$44:$H$56,MATCH($L48,$B$44:$B$56,0),MATCH($BC$43,$A$44:$H$44,0))*고양시_Modal_split!H$6 * 0.01</f>
        <v>0.15638334284547767</v>
      </c>
      <c r="BI48" s="207">
        <f>INDEX($A$44:$H$56,MATCH($L48,$B$44:$B$56,0),MATCH($BC$43,$A$44:$H$44,0))*고양시_Modal_split!I$6 * 0.01</f>
        <v>0.10425556189698509</v>
      </c>
      <c r="BJ48" s="207">
        <f>INDEX($A$44:$H$56,MATCH($L48,$B$44:$B$56,0),MATCH($BC$43,$A$44:$H$44,0))*고양시_Modal_split!J$6 * 0.01</f>
        <v>0.14548657507658372</v>
      </c>
      <c r="BK48" s="207">
        <f>INDEX($A$44:$H$56,MATCH($L48,$B$44:$B$56,0),MATCH($BC$43,$A$44:$H$44,0))*고양시_Modal_split!K$6 * 0.01</f>
        <v>0</v>
      </c>
      <c r="BL48" s="207">
        <f>INDEX($A$44:$H$56,MATCH($L48,$B$44:$B$56,0),MATCH($BC$43,$A$44:$H$44,0))*고양시_Modal_split!L$6 * 0.01</f>
        <v>2.2382550011782115E-2</v>
      </c>
      <c r="BM48" s="207">
        <f>INDEX($A$44:$H$56,MATCH($L48,$B$44:$B$56,0),MATCH($BC$43,$A$44:$H$44,0))*고양시_Modal_split!M$6 * 0.01</f>
        <v>2.6800158566739112E-2</v>
      </c>
      <c r="BN48" s="207">
        <f>INDEX($A$44:$H$56,MATCH($L48,$B$44:$B$56,0),MATCH($BC$43,$A$44:$H$44,0))*고양시_Modal_split!N$6 * 0.01</f>
        <v>0</v>
      </c>
      <c r="BO48" s="207">
        <f>INDEX($A$44:$H$56,MATCH($L48,$B$44:$B$56,0),MATCH($BC$43,$A$44:$H$44,0))*고양시_Modal_split!O$6 * 0.01</f>
        <v>2.3560578959770646E-3</v>
      </c>
      <c r="BP48" s="214">
        <f>INDEX($A$44:$H$56,MATCH($L48,$B$44:$B$56,0),MATCH($BC$43,$A$44:$H$44,0))*고양시_Modal_split!P$6 * 0.01</f>
        <v>2.945072369971331</v>
      </c>
      <c r="BQ48" s="213">
        <f>INDEX($A$44:$H$56,MATCH($L48,$B$44:$B$56,0),MATCH($BQ$43,$A$44:$H$44,0))*고양시_Modal_split!C$7 * 0.01</f>
        <v>0</v>
      </c>
      <c r="BR48" s="207">
        <f>INDEX($A$44:$H$56,MATCH($L48,$B$44:$B$56,0),MATCH($BQ$43,$A$44:$H$44,0))*고양시_Modal_split!D$7 * 0.01</f>
        <v>5.1134309869022374</v>
      </c>
      <c r="BS48" s="207">
        <f>INDEX($A$44:$H$56,MATCH($L48,$B$44:$B$56,0),MATCH($BQ$43,$A$44:$H$44,0))*고양시_Modal_split!E$7 * 0.01</f>
        <v>0.24949671427607198</v>
      </c>
      <c r="BT48" s="207">
        <f>INDEX($A$44:$H$56,MATCH($L48,$B$44:$B$56,0),MATCH($BQ$43,$A$44:$H$44,0))*고양시_Modal_split!F$7 * 0.01</f>
        <v>8.3443717149187954E-2</v>
      </c>
      <c r="BU48" s="207">
        <f>INDEX($A$44:$H$56,MATCH($L48,$B$44:$B$56,0),MATCH($BQ$43,$A$44:$H$44,0))*고양시_Modal_split!G$7 * 0.01</f>
        <v>3.5046361202658936E-2</v>
      </c>
      <c r="BV48" s="207">
        <f>INDEX($A$44:$H$56,MATCH($L48,$B$44:$B$56,0),MATCH($BQ$43,$A$44:$H$44,0))*고양시_Modal_split!H$7 * 0.01</f>
        <v>0.46645037886396062</v>
      </c>
      <c r="BW48" s="207">
        <f>INDEX($A$44:$H$56,MATCH($L48,$B$44:$B$56,0),MATCH($BQ$43,$A$44:$H$44,0))*고양시_Modal_split!I$7 * 0.01</f>
        <v>1.557894199175339</v>
      </c>
      <c r="BX48" s="207">
        <f>INDEX($A$44:$H$56,MATCH($L48,$B$44:$B$56,0),MATCH($BQ$43,$A$44:$H$44,0))*고양시_Modal_split!J$7 * 0.01</f>
        <v>1.6688743429837591E-3</v>
      </c>
      <c r="BY48" s="207">
        <f>INDEX($A$44:$H$56,MATCH($L48,$B$44:$B$56,0),MATCH($BQ$43,$A$44:$H$44,0))*고양시_Modal_split!K$7 * 0.01</f>
        <v>0.64251662204874715</v>
      </c>
      <c r="BZ48" s="207">
        <f>INDEX($A$44:$H$56,MATCH($L48,$B$44:$B$56,0),MATCH($BQ$43,$A$44:$H$44,0))*고양시_Modal_split!L$7 * 0.01</f>
        <v>5.8410602004431555E-3</v>
      </c>
      <c r="CA48" s="207">
        <f>INDEX($A$44:$H$56,MATCH($L48,$B$44:$B$56,0),MATCH($BQ$43,$A$44:$H$44,0))*고양시_Modal_split!M$7 * 0.01</f>
        <v>0.15603975106898146</v>
      </c>
      <c r="CB48" s="207">
        <f>INDEX($A$44:$H$56,MATCH($L48,$B$44:$B$56,0),MATCH($BQ$43,$A$44:$H$44,0))*고양시_Modal_split!N$7 * 0.01</f>
        <v>3.25430496881833E-2</v>
      </c>
      <c r="CC48" s="207">
        <f>INDEX($A$44:$H$56,MATCH($L48,$B$44:$B$56,0),MATCH($BQ$43,$A$44:$H$44,0))*고양시_Modal_split!O$7 * 0.01</f>
        <v>0</v>
      </c>
      <c r="CD48" s="214">
        <f>INDEX($A$44:$H$56,MATCH($L48,$B$44:$B$56,0),MATCH($BQ$43,$A$44:$H$44,0))*고양시_Modal_split!P$7 * 0.01</f>
        <v>8.344371714918795</v>
      </c>
      <c r="CE48" s="218">
        <f t="shared" si="24"/>
        <v>7467.4404377923838</v>
      </c>
      <c r="CF48" s="208">
        <f t="shared" si="7"/>
        <v>10142.486828433754</v>
      </c>
      <c r="CG48" s="208">
        <f t="shared" si="8"/>
        <v>2190.2021941567077</v>
      </c>
      <c r="CH48" s="208">
        <f t="shared" si="9"/>
        <v>544.6030280777976</v>
      </c>
      <c r="CI48" s="208">
        <f t="shared" si="10"/>
        <v>2905.0949513882915</v>
      </c>
      <c r="CJ48" s="208">
        <f t="shared" si="11"/>
        <v>1.6981041862557242</v>
      </c>
      <c r="CK48" s="208">
        <f t="shared" si="12"/>
        <v>971.95376717857823</v>
      </c>
      <c r="CL48" s="208">
        <f t="shared" si="13"/>
        <v>2181.2990931286645</v>
      </c>
      <c r="CM48" s="208">
        <f t="shared" si="14"/>
        <v>5.585820595045635</v>
      </c>
      <c r="CN48" s="208">
        <f t="shared" si="15"/>
        <v>1254.7986648442445</v>
      </c>
      <c r="CO48" s="208">
        <f t="shared" si="16"/>
        <v>178.85937436273736</v>
      </c>
      <c r="CP48" s="208">
        <f t="shared" si="17"/>
        <v>617.54316916175321</v>
      </c>
      <c r="CQ48" s="208">
        <f t="shared" si="18"/>
        <v>287.00392886653975</v>
      </c>
      <c r="CR48" s="219">
        <f t="shared" si="19"/>
        <v>28748.569362172751</v>
      </c>
      <c r="CS48" s="225">
        <f t="shared" si="25"/>
        <v>0</v>
      </c>
      <c r="CV48" s="265"/>
      <c r="CW48" s="266" t="s">
        <v>15</v>
      </c>
      <c r="CX48" s="267">
        <f>INDEX($M$43:$Z$56,MATCH($CW48,$L$43:$L$56,0),MATCH(CX$44,$M$44:$Z$44,0))/INDEX(고양시_재차인원!$D$4:$H$35,MATCH("고양시",고양시_재차인원!$B$4:$B$35,0),MATCH('A.일산테크노밸리(859991)_수정'!$CX$43,고양시_재차인원!$D$4:$H$4,0))</f>
        <v>1323.0280522322134</v>
      </c>
      <c r="CY48" s="267">
        <f>INDEX($M$43:$Z$56,MATCH($CW48,$L$43:$L$56,0),MATCH(CY$44,$M$44:$Z$44,0))/INDEX(고양시_재차인원!$K$4:$O$20,MATCH("경기도",고양시_재차인원!$K$4:$K$20,0),MATCH('A.일산테크노밸리(859991)_수정'!CY$44,고양시_재차인원!$K$4:$O$4,0))</f>
        <v>1.0943857556354061E-2</v>
      </c>
      <c r="CZ48" s="267">
        <f>INDEX($M$43:$Z$56,MATCH($CW48,$L$43:$L$56,0),MATCH(CZ$44,$M$44:$Z$44,0))/INDEX(고양시_재차인원!$K$4:$O$20,MATCH("경기도",고양시_재차인원!$K$4:$K$20,0),MATCH('A.일산테크노밸리(859991)_수정'!CZ$44,고양시_재차인원!$K$4:$O$4,0))</f>
        <v>3.0423924006664294</v>
      </c>
      <c r="DA48" s="267">
        <f>INDEX($M$43:$Z$56,MATCH($CW48,$L$43:$L$56,0),MATCH(DA$44,$M$44:$Z$44,0))/INDEX(고양시_재차인원!$K$4:$O$20,MATCH("경기도",고양시_재차인원!$K$4:$K$20,0),MATCH('A.일산테크노밸리(859991)_수정'!DA$44,고양시_재차인원!$K$4:$O$4,0))</f>
        <v>63.434830021549935</v>
      </c>
      <c r="DB48" s="268">
        <f>INDEX($AA$43:$AN$56,MATCH($CW48,$L$43:$L$56,0),MATCH(DB$44,$AA$44:$AN$44,0))/INDEX(고양시_재차인원!$D$4:$H$35,MATCH("고양시",고양시_재차인원!$B$4:$B$35,0),MATCH('A.일산테크노밸리(859991)_수정'!$DB$43,고양시_재차인원!$D$4:$H$4,0))</f>
        <v>5572.5714246124408</v>
      </c>
      <c r="DC48" s="267">
        <f>INDEX($AA$43:$AN$56,MATCH($CW48,$L$43:$L$56,0),MATCH(DC$44,$AA$44:$AN$44,0))/INDEX(고양시_재차인원!$K$4:$O$20,MATCH("경기도",고양시_재차인원!$K$4:$K$20,0),MATCH('A.일산테크노밸리(859991)_수정'!DC$44,고양시_재차인원!$K$4:$O$4,0))</f>
        <v>0</v>
      </c>
      <c r="DD48" s="267">
        <f>INDEX($AA$43:$AN$56,MATCH($CW48,$L$43:$L$56,0),MATCH(DD$44,$AA$44:$AN$44,0))/INDEX(고양시_재차인원!$K$4:$O$20,MATCH("경기도",고양시_재차인원!$K$4:$K$20,0),MATCH('A.일산테크노밸리(859991)_수정'!DD$44,고양시_재차인원!$K$4:$O$4,0))</f>
        <v>29.61511172675559</v>
      </c>
      <c r="DE48" s="267">
        <f>INDEX($AA$43:$AN$56,MATCH($CW48,$L$43:$L$56,0),MATCH(DE$44,$AA$44:$AN$44,0))/INDEX(고양시_재차인원!$K$4:$O$20,MATCH("경기도",고양시_재차인원!$K$4:$K$20,0),MATCH('A.일산테크노밸리(859991)_수정'!DE$44,고양시_재차인원!$K$4:$O$4,0))</f>
        <v>754.61687504854717</v>
      </c>
      <c r="DF48" s="268">
        <f>INDEX($AO$43:$BB$56,MATCH($CW48,$L$43:$L$56,0),MATCH(DF$44,$AO$44:$BB$44,0))/INDEX(고양시_재차인원!$D$4:$H$35,MATCH("고양시",고양시_재차인원!$B$4:$B$35,0),MATCH('A.일산테크노밸리(859991)_수정'!$DF$43,고양시_재차인원!$D$4:$H$4,0))</f>
        <v>612.16727370281217</v>
      </c>
      <c r="DG48" s="267">
        <f>INDEX($AO$43:$BB$56,MATCH($CW48,$L$43:$L$56,0),MATCH(DG$44,$AO$44:$BB$44,0))/INDEX(고양시_재차인원!$K$4:$O$20,MATCH("경기도",고양시_재차인원!$K$4:$K$20,0),MATCH('A.일산테크노밸리(859991)_수정'!DG$44,고양시_재차인원!$K$4:$O$4,0))</f>
        <v>2.6404890778008071E-2</v>
      </c>
      <c r="DH48" s="267">
        <f>INDEX($AO$43:$BB$56,MATCH($CW48,$L$43:$L$56,0),MATCH(DH$44,$AO$44:$BB$44,0))/INDEX(고양시_재차인원!$K$4:$O$20,MATCH("경기도",고양시_재차인원!$K$4:$K$20,0),MATCH('A.일산테크노밸리(859991)_수정'!DH$44,고양시_재차인원!$K$4:$O$4,0))</f>
        <v>1.0448792493583194</v>
      </c>
      <c r="DI48" s="267">
        <f>INDEX($AO$43:$BB$56,MATCH($CW48,$L$43:$L$56,0),MATCH(DI$44,$AO$44:$BB$44,0))/INDEX(고양시_재차인원!$K$4:$O$20,MATCH("경기도",고양시_재차인원!$K$4:$K$20,0),MATCH('A.일산테크노밸리(859991)_수정'!DI$44,고양시_재차인원!$K$4:$O$4,0))</f>
        <v>18.461922419257842</v>
      </c>
      <c r="DJ48" s="268">
        <f>INDEX($BC$43:$BP$56,MATCH($CW48,$L$43:$L$56,0),MATCH(DJ$44,$BC$44:$BP$44,0))/INDEX(고양시_재차인원!$D$4:$H$35,MATCH("고양시",고양시_재차인원!$B$4:$B$35,0),MATCH('A.일산테크노밸리(859991)_수정'!$DJ$43,고양시_재차인원!$D$4:$H$4,0))</f>
        <v>1.793245904097984</v>
      </c>
      <c r="DK48" s="267">
        <f>INDEX($BC$43:$BP$56,MATCH($CW48,$L$43:$L$56,0),MATCH(DK$44,$BC$44:$BP$44,0))/INDEX(고양시_재차인원!$K$4:$O$20,MATCH("경기도",고양시_재차인원!$K$4:$K$20,0),MATCH('A.일산테크노밸리(859991)_수정'!DK$44,고양시_재차인원!$K$4:$O$4,0))</f>
        <v>5.4318632457616423E-3</v>
      </c>
      <c r="DL48" s="267">
        <f>INDEX($BC$43:$BP$56,MATCH($CW48,$L$43:$L$56,0),MATCH(DL$44,$BC$44:$BP$44,0))/INDEX(고양시_재차인원!$K$4:$O$20,MATCH("경기도",고양시_재차인원!$K$4:$K$20,0),MATCH('A.일산테크노밸리(859991)_수정'!DL$44,고양시_재차인원!$K$4:$O$4,0))</f>
        <v>3.6212421638410941E-3</v>
      </c>
      <c r="DM48" s="267">
        <f>INDEX($BC$43:$BP$56,MATCH($CW48,$L$43:$L$56,0),MATCH(DM$44,$BC$44:$BP$44,0))/INDEX(고양시_재차인원!$K$4:$O$20,MATCH("경기도",고양시_재차인원!$K$4:$K$20,0),MATCH('A.일산테크노밸리(859991)_수정'!DM$44,고양시_재차인원!$K$4:$O$4,0))</f>
        <v>1.4921700007854742E-2</v>
      </c>
      <c r="DN48" s="268">
        <f>INDEX($BQ$43:$CD$56,MATCH($CW48,$L$43:$L$56,0),MATCH(DN$44,$BQ$44:$CD$44,0))/INDEX(고양시_재차인원!$D$4:$H$35,MATCH("고양시",고양시_재차인원!$B$4:$B$35,0),MATCH('A.일산테크노밸리(859991)_수정'!$DN$43,고양시_재차인원!$D$4:$H$4,0))</f>
        <v>4.0582785610335215</v>
      </c>
      <c r="DO48" s="267">
        <f>INDEX($BQ$43:$CD$56,MATCH($CW48,$L$43:$L$56,0),MATCH(DO$44,$BQ$44:$CD$44,0))/INDEX(고양시_재차인원!$K$4:$O$20,MATCH("경기도",고양시_재차인원!$K$4:$K$20,0),MATCH('A.일산테크노밸리(859991)_수정'!DO$44,고양시_재차인원!$K$4:$O$4,0))</f>
        <v>1.6201819342270257E-2</v>
      </c>
      <c r="DP48" s="267">
        <f>INDEX($BQ$43:$CD$56,MATCH($CW48,$L$43:$L$56,0),MATCH(DP$44,$BQ$44:$CD$44,0))/INDEX(고양시_재차인원!$K$4:$O$20,MATCH("경기도",고양시_재차인원!$K$4:$K$20,0),MATCH('A.일산테크노밸리(859991)_수정'!DP$44,고양시_재차인원!$K$4:$O$4,0))</f>
        <v>5.4112337588584199E-2</v>
      </c>
      <c r="DQ48" s="267">
        <f>INDEX($BQ$43:$CD$56,MATCH($CW48,$L$43:$L$56,0),MATCH(DQ$44,$BQ$44:$CD$44,0))/INDEX(고양시_재차인원!$K$4:$O$20,MATCH("경기도",고양시_재차인원!$K$4:$K$20,0),MATCH('A.일산테크노밸리(859991)_수정'!DQ$44,고양시_재차인원!$K$4:$O$4,0))</f>
        <v>3.8940401336287705E-3</v>
      </c>
      <c r="DR48" s="269">
        <f t="shared" si="26"/>
        <v>7513.6182750125972</v>
      </c>
      <c r="DS48" s="270">
        <f t="shared" si="20"/>
        <v>5.8982430922394039E-2</v>
      </c>
      <c r="DT48" s="270">
        <f t="shared" si="21"/>
        <v>33.760116956532755</v>
      </c>
      <c r="DU48" s="270">
        <f t="shared" si="22"/>
        <v>836.53244322949649</v>
      </c>
      <c r="DW48" s="278"/>
      <c r="DX48" s="278" t="s">
        <v>594</v>
      </c>
      <c r="DY48" s="281">
        <f t="shared" si="27"/>
        <v>8350.1507182420937</v>
      </c>
      <c r="DZ48" s="281">
        <f t="shared" si="28"/>
        <v>33.819099387455147</v>
      </c>
      <c r="EC48" s="412" t="s">
        <v>14</v>
      </c>
      <c r="ED48" s="412" t="s">
        <v>569</v>
      </c>
      <c r="EE48" s="412">
        <v>5454.9395000000004</v>
      </c>
      <c r="EF48" s="412">
        <v>0.43129277327301779</v>
      </c>
      <c r="EG48" s="413">
        <v>859004</v>
      </c>
      <c r="EH48" s="414">
        <f t="shared" si="29"/>
        <v>123.99369447646984</v>
      </c>
      <c r="EI48" s="415">
        <f t="shared" si="30"/>
        <v>0.50218914824573191</v>
      </c>
      <c r="EJ48" s="402">
        <v>0</v>
      </c>
      <c r="EM48" s="278" t="s">
        <v>14</v>
      </c>
      <c r="EN48" s="278" t="s">
        <v>569</v>
      </c>
      <c r="EO48" s="278">
        <v>5454.9395000000004</v>
      </c>
      <c r="EP48" s="278">
        <v>0.43129277327301779</v>
      </c>
      <c r="EQ48" s="289">
        <v>859004</v>
      </c>
      <c r="ER48" s="290">
        <f t="shared" si="31"/>
        <v>123.99369447646984</v>
      </c>
      <c r="ES48" s="291">
        <f t="shared" si="23"/>
        <v>0.50218914824573191</v>
      </c>
      <c r="ET48" s="402">
        <v>0</v>
      </c>
      <c r="EV48" s="34"/>
      <c r="EW48" s="34"/>
      <c r="EX48" s="34"/>
      <c r="EY48" s="34"/>
      <c r="EZ48" s="378"/>
      <c r="FA48" s="401"/>
      <c r="FB48" s="402"/>
      <c r="FC48" s="402"/>
    </row>
    <row r="49" spans="1:159" ht="27" customHeight="1">
      <c r="A49" s="205"/>
      <c r="B49" s="205" t="s">
        <v>16</v>
      </c>
      <c r="C49" s="400">
        <f>'A.일산테크노밸리(859991)_수정'!$P32*KTDB_TripDistribution_2035!L$12 * (1 + KTDB_발생량도착량_증가율!$D$7*5) * (1 + KTDB_발생량도착량_증가율!$E$7*5)</f>
        <v>341.50087359779735</v>
      </c>
      <c r="D49" s="400">
        <f>'A.일산테크노밸리(859991)_수정'!$P32*KTDB_TripDistribution_2035!M$12 * (1 + KTDB_발생량도착량_증가율!$D$7*5) * (1 + KTDB_발생량도착량_증가율!$E$7*5)</f>
        <v>2655.5563336398327</v>
      </c>
      <c r="E49" s="400">
        <f>'A.일산테크노밸리(859991)_수정'!$P32*KTDB_TripDistribution_2035!N$12 * (1 + KTDB_발생량도착량_증가율!$D$7*5) * (1 + KTDB_발생량도착량_증가율!$E$7*5)</f>
        <v>117.7084721662452</v>
      </c>
      <c r="F49" s="400">
        <f>'A.일산테크노밸리(859991)_수정'!$P32*KTDB_TripDistribution_2035!O$12 * (1 + KTDB_발생량도착량_증가율!$D$7*5) * (1 + KTDB_발생량도착량_증가율!$E$7*5)</f>
        <v>0.31920941604405362</v>
      </c>
      <c r="G49" s="400">
        <f>'A.일산테크노밸리(859991)_수정'!$P32*KTDB_TripDistribution_2035!P$12 * (1 + KTDB_발생량도착량_증가율!$D$7*5) * (1 + KTDB_발생량도착량_증가율!$E$7*5)</f>
        <v>0.90442667879148797</v>
      </c>
      <c r="H49" s="400">
        <f>'A.일산테크노밸리(859991)_수정'!$P32*KTDB_TripDistribution_2035!Q$12 * (1 + KTDB_발생량도착량_증가율!$D$7*5) * (1 + KTDB_발생량도착량_증가율!$E$7*5)</f>
        <v>3115.9893154987112</v>
      </c>
      <c r="J49" s="230">
        <f t="shared" si="6"/>
        <v>3115.9893154987103</v>
      </c>
      <c r="K49" s="206"/>
      <c r="L49" s="209" t="s">
        <v>16</v>
      </c>
      <c r="M49" s="213">
        <f>INDEX($A$44:$H$56,MATCH($L49,$B$44:$B$56,0),MATCH($M$43,$A$44:$H$44,0))*고양시_Modal_split!C$3 * 0.01</f>
        <v>0.95620244607383242</v>
      </c>
      <c r="N49" s="207">
        <f>INDEX($A$44:$H$56,MATCH($L49,$B$44:$B$56,0),MATCH($M$43,$A$44:$H$44,0))*고양시_Modal_split!D$3 * 0.01</f>
        <v>160.60786085304409</v>
      </c>
      <c r="O49" s="207">
        <f>INDEX($A$44:$H$56,MATCH($L49,$B$44:$B$56,0),MATCH($M$43,$A$44:$H$44,0))*고양시_Modal_split!E$3 * 0.01</f>
        <v>19.431399707714668</v>
      </c>
      <c r="P49" s="207">
        <f>INDEX($A$44:$H$56,MATCH($L49,$B$44:$B$56,0),MATCH($M$43,$A$44:$H$44,0))*고양시_Modal_split!F$3 * 0.01</f>
        <v>31.315630108918018</v>
      </c>
      <c r="Q49" s="207">
        <f>INDEX($A$44:$H$56,MATCH($L49,$B$44:$B$56,0),MATCH($M$43,$A$44:$H$44,0))*고양시_Modal_split!G$3 * 0.01</f>
        <v>3.1418080370997354</v>
      </c>
      <c r="R49" s="207">
        <f>INDEX($A$44:$H$56,MATCH($L49,$B$44:$B$56,0),MATCH($M$43,$A$44:$H$44,0))*고양시_Modal_split!H$3 * 0.01</f>
        <v>3.4150087359779736E-2</v>
      </c>
      <c r="S49" s="207">
        <f>INDEX($A$44:$H$56,MATCH($L49,$B$44:$B$56,0),MATCH($M$43,$A$44:$H$44,0))*고양시_Modal_split!I$3 * 0.01</f>
        <v>9.4937242860187663</v>
      </c>
      <c r="T49" s="207">
        <f>INDEX($A$44:$H$56,MATCH($L49,$B$44:$B$56,0),MATCH($M$43,$A$44:$H$44,0))*고양시_Modal_split!J$3 * 0.01</f>
        <v>103.95286592316953</v>
      </c>
      <c r="U49" s="207">
        <f>INDEX($A$44:$H$56,MATCH($L49,$B$44:$B$56,0),MATCH($M$43,$A$44:$H$44,0))*고양시_Modal_split!K$3 * 0.01</f>
        <v>0.51225131039669602</v>
      </c>
      <c r="V49" s="207">
        <f>INDEX($A$44:$H$56,MATCH($L49,$B$44:$B$56,0),MATCH($M$43,$A$44:$H$44,0))*고양시_Modal_split!L$3 * 0.01</f>
        <v>10.313326382653479</v>
      </c>
      <c r="W49" s="207">
        <f>INDEX($A$44:$H$56,MATCH($L49,$B$44:$B$56,0),MATCH($M$43,$A$44:$H$44,0))*고양시_Modal_split!M$3 * 0.01</f>
        <v>0.78545200927493386</v>
      </c>
      <c r="X49" s="207">
        <f>INDEX($A$44:$H$56,MATCH($L49,$B$44:$B$56,0),MATCH($M$43,$A$44:$H$44,0))*고양시_Modal_split!N$3 * 0.01</f>
        <v>0.34150087359779741</v>
      </c>
      <c r="Y49" s="207">
        <f>INDEX($A$44:$H$56,MATCH($L49,$B$44:$B$56,0),MATCH($M$43,$A$44:$H$44,0))*고양시_Modal_split!O$3 * 0.01</f>
        <v>0.6147015724760353</v>
      </c>
      <c r="Z49" s="214">
        <f>INDEX($A$44:$H$56,MATCH($L49,$B$44:$B$56,0),MATCH($M$43,$A$44:$H$44,0))*고양시_Modal_split!P$3 * 0.01</f>
        <v>341.50087359779735</v>
      </c>
      <c r="AA49" s="213">
        <f>INDEX($A$44:$H$56,MATCH($L49,$B$44:$B$56,0),MATCH($AA$43,$A$44:$H$44,0))*고양시_Modal_split!C$4 * 0.01</f>
        <v>808.3513479599651</v>
      </c>
      <c r="AB49" s="207">
        <f>INDEX($A$44:$H$56,MATCH($L49,$B$44:$B$56,0),MATCH($AA$43,$A$44:$H$44,0))*고양시_Modal_split!D$4 * 0.01</f>
        <v>851.63691619829433</v>
      </c>
      <c r="AC49" s="207">
        <f>INDEX($A$44:$H$56,MATCH($L49,$B$44:$B$56,0),MATCH($AA$43,$A$44:$H$44,0))*고양시_Modal_split!E$4 * 0.01</f>
        <v>206.336727123815</v>
      </c>
      <c r="AD49" s="207">
        <f>INDEX($A$44:$H$56,MATCH($L49,$B$44:$B$56,0),MATCH($AA$43,$A$44:$H$44,0))*고양시_Modal_split!F$4 * 0.01</f>
        <v>25.227785169578411</v>
      </c>
      <c r="AE49" s="207">
        <f>INDEX($A$44:$H$56,MATCH($L49,$B$44:$B$56,0),MATCH($AA$43,$A$44:$H$44,0))*고양시_Modal_split!G$4 * 0.01</f>
        <v>310.96564666922438</v>
      </c>
      <c r="AF49" s="207">
        <f>INDEX($A$44:$H$56,MATCH($L49,$B$44:$B$56,0),MATCH($AA$43,$A$44:$H$44,0))*고양시_Modal_split!H$4 * 0.01</f>
        <v>0</v>
      </c>
      <c r="AG49" s="207">
        <f>INDEX($A$44:$H$56,MATCH($L49,$B$44:$B$56,0),MATCH($AA$43,$A$44:$H$44,0))*고양시_Modal_split!I$4 * 0.01</f>
        <v>92.413360410666172</v>
      </c>
      <c r="AH49" s="207">
        <f>INDEX($A$44:$H$56,MATCH($L49,$B$44:$B$56,0),MATCH($AA$43,$A$44:$H$44,0))*고양시_Modal_split!J$4 * 0.01</f>
        <v>125.07670331443613</v>
      </c>
      <c r="AI49" s="207">
        <f>INDEX($A$44:$H$56,MATCH($L49,$B$44:$B$56,0),MATCH($AA$43,$A$44:$H$44,0))*고양시_Modal_split!K$4 * 0.01</f>
        <v>0</v>
      </c>
      <c r="AJ49" s="207">
        <f>INDEX($A$44:$H$56,MATCH($L49,$B$44:$B$56,0),MATCH($AA$43,$A$44:$H$44,0))*고양시_Modal_split!L$4 * 0.01</f>
        <v>122.68670261416028</v>
      </c>
      <c r="AK49" s="207">
        <f>INDEX($A$44:$H$56,MATCH($L49,$B$44:$B$56,0),MATCH($AA$43,$A$44:$H$44,0))*고양시_Modal_split!M$4 * 0.01</f>
        <v>17.792227435386881</v>
      </c>
      <c r="AL49" s="207">
        <f>INDEX($A$44:$H$56,MATCH($L49,$B$44:$B$56,0),MATCH($AA$43,$A$44:$H$44,0))*고양시_Modal_split!N$4 * 0.01</f>
        <v>66.388908340995826</v>
      </c>
      <c r="AM49" s="207">
        <f>INDEX($A$44:$H$56,MATCH($L49,$B$44:$B$56,0),MATCH($AA$43,$A$44:$H$44,0))*고양시_Modal_split!O$4 * 0.01</f>
        <v>28.680008403310193</v>
      </c>
      <c r="AN49" s="214">
        <f>INDEX($A$44:$H$56,MATCH($L49,$B$44:$B$56,0),MATCH($AA$43,$A$44:$H$44,0))*고양시_Modal_split!P$4 * 0.01</f>
        <v>2655.5563336398327</v>
      </c>
      <c r="AO49" s="213">
        <f>INDEX($A$44:$H$56,MATCH($L49,$B$44:$B$56,0),MATCH($AO$43,$A$44:$H$44,0))*고양시_Modal_split!C$5 * 0.01</f>
        <v>7.0625083299747121E-2</v>
      </c>
      <c r="AP49" s="207">
        <f>INDEX($A$44:$H$56,MATCH($L49,$B$44:$B$56,0),MATCH($AO$43,$A$44:$H$44,0))*고양시_Modal_split!D$5 * 0.01</f>
        <v>86.256768403424488</v>
      </c>
      <c r="AQ49" s="207">
        <f>INDEX($A$44:$H$56,MATCH($L49,$B$44:$B$56,0),MATCH($AO$43,$A$44:$H$44,0))*고양시_Modal_split!E$5 * 0.01</f>
        <v>11.594284508375152</v>
      </c>
      <c r="AR49" s="207">
        <f>INDEX($A$44:$H$56,MATCH($L49,$B$44:$B$56,0),MATCH($AO$43,$A$44:$H$44,0))*고양시_Modal_split!F$5 * 0.01</f>
        <v>2.4718779154911492</v>
      </c>
      <c r="AS49" s="207">
        <f>INDEX($A$44:$H$56,MATCH($L49,$B$44:$B$56,0),MATCH($AO$43,$A$44:$H$44,0))*고양시_Modal_split!G$5 * 0.01</f>
        <v>0.76510506908059384</v>
      </c>
      <c r="AT49" s="207">
        <f>INDEX($A$44:$H$56,MATCH($L49,$B$44:$B$56,0),MATCH($AO$43,$A$44:$H$44,0))*고양시_Modal_split!H$5 * 0.01</f>
        <v>8.2395930516371632E-2</v>
      </c>
      <c r="AU49" s="207">
        <f>INDEX($A$44:$H$56,MATCH($L49,$B$44:$B$56,0),MATCH($AO$43,$A$44:$H$44,0))*고양시_Modal_split!I$5 * 0.01</f>
        <v>3.260524679004992</v>
      </c>
      <c r="AV49" s="207">
        <f>INDEX($A$44:$H$56,MATCH($L49,$B$44:$B$56,0),MATCH($AO$43,$A$44:$H$44,0))*고양시_Modal_split!J$5 * 0.01</f>
        <v>7.3803212048235745</v>
      </c>
      <c r="AW49" s="207">
        <f>INDEX($A$44:$H$56,MATCH($L49,$B$44:$B$56,0),MATCH($AO$43,$A$44:$H$44,0))*고양시_Modal_split!K$5 * 0.01</f>
        <v>2.3541694433249043E-2</v>
      </c>
      <c r="AX49" s="207">
        <f>INDEX($A$44:$H$56,MATCH($L49,$B$44:$B$56,0),MATCH($AO$43,$A$44:$H$44,0))*고양시_Modal_split!L$5 * 0.01</f>
        <v>3.0015660402392523</v>
      </c>
      <c r="AY49" s="207">
        <f>INDEX($A$44:$H$56,MATCH($L49,$B$44:$B$56,0),MATCH($AO$43,$A$44:$H$44,0))*고양시_Modal_split!M$5 * 0.01</f>
        <v>0.78864676351384289</v>
      </c>
      <c r="AZ49" s="207">
        <f>INDEX($A$44:$H$56,MATCH($L49,$B$44:$B$56,0),MATCH($AO$43,$A$44:$H$44,0))*고양시_Modal_split!N$5 * 0.01</f>
        <v>0.20010440268261684</v>
      </c>
      <c r="BA49" s="207">
        <f>INDEX($A$44:$H$56,MATCH($L49,$B$44:$B$56,0),MATCH($AO$43,$A$44:$H$44,0))*고양시_Modal_split!O$5 * 0.01</f>
        <v>1.8127104713601763</v>
      </c>
      <c r="BB49" s="214">
        <f>INDEX($A$44:$H$56,MATCH($L49,$B$44:$B$56,0),MATCH($AO$43,$A$44:$H$44,0))*고양시_Modal_split!P$5 * 0.01</f>
        <v>117.7084721662452</v>
      </c>
      <c r="BC49" s="213">
        <f>INDEX($A$44:$H$56,MATCH($L49,$B$44:$B$56,0),MATCH($BC$43,$A$44:$H$44,0))*고양시_Modal_split!C$6 * 0.01</f>
        <v>0</v>
      </c>
      <c r="BD49" s="207">
        <f>INDEX($A$44:$H$56,MATCH($L49,$B$44:$B$56,0),MATCH($BC$43,$A$44:$H$44,0))*고양시_Modal_split!D$6 * 0.01</f>
        <v>0.2643373174260808</v>
      </c>
      <c r="BE49" s="207">
        <f>INDEX($A$44:$H$56,MATCH($L49,$B$44:$B$56,0),MATCH($BC$43,$A$44:$H$44,0))*고양시_Modal_split!E$6 * 0.01</f>
        <v>1.3726004889894306E-3</v>
      </c>
      <c r="BF49" s="207">
        <f>INDEX($A$44:$H$56,MATCH($L49,$B$44:$B$56,0),MATCH($BC$43,$A$44:$H$44,0))*고양시_Modal_split!F$6 * 0.01</f>
        <v>3.8943548757374544E-3</v>
      </c>
      <c r="BG49" s="207">
        <f>INDEX($A$44:$H$56,MATCH($L49,$B$44:$B$56,0),MATCH($BC$43,$A$44:$H$44,0))*고양시_Modal_split!G$6 * 0.01</f>
        <v>0</v>
      </c>
      <c r="BH49" s="207">
        <f>INDEX($A$44:$H$56,MATCH($L49,$B$44:$B$56,0),MATCH($BC$43,$A$44:$H$44,0))*고양시_Modal_split!H$6 * 0.01</f>
        <v>1.695001999193925E-2</v>
      </c>
      <c r="BI49" s="207">
        <f>INDEX($A$44:$H$56,MATCH($L49,$B$44:$B$56,0),MATCH($BC$43,$A$44:$H$44,0))*고양시_Modal_split!I$6 * 0.01</f>
        <v>1.1300013327959497E-2</v>
      </c>
      <c r="BJ49" s="207">
        <f>INDEX($A$44:$H$56,MATCH($L49,$B$44:$B$56,0),MATCH($BC$43,$A$44:$H$44,0))*고양시_Modal_split!J$6 * 0.01</f>
        <v>1.576894515257625E-2</v>
      </c>
      <c r="BK49" s="207">
        <f>INDEX($A$44:$H$56,MATCH($L49,$B$44:$B$56,0),MATCH($BC$43,$A$44:$H$44,0))*고양시_Modal_split!K$6 * 0.01</f>
        <v>0</v>
      </c>
      <c r="BL49" s="207">
        <f>INDEX($A$44:$H$56,MATCH($L49,$B$44:$B$56,0),MATCH($BC$43,$A$44:$H$44,0))*고양시_Modal_split!L$6 * 0.01</f>
        <v>2.4259915619348075E-3</v>
      </c>
      <c r="BM49" s="207">
        <f>INDEX($A$44:$H$56,MATCH($L49,$B$44:$B$56,0),MATCH($BC$43,$A$44:$H$44,0))*고양시_Modal_split!M$6 * 0.01</f>
        <v>2.9048056860008879E-3</v>
      </c>
      <c r="BN49" s="207">
        <f>INDEX($A$44:$H$56,MATCH($L49,$B$44:$B$56,0),MATCH($BC$43,$A$44:$H$44,0))*고양시_Modal_split!N$6 * 0.01</f>
        <v>0</v>
      </c>
      <c r="BO49" s="207">
        <f>INDEX($A$44:$H$56,MATCH($L49,$B$44:$B$56,0),MATCH($BC$43,$A$44:$H$44,0))*고양시_Modal_split!O$6 * 0.01</f>
        <v>2.5536753283524288E-4</v>
      </c>
      <c r="BP49" s="214">
        <f>INDEX($A$44:$H$56,MATCH($L49,$B$44:$B$56,0),MATCH($BC$43,$A$44:$H$44,0))*고양시_Modal_split!P$6 * 0.01</f>
        <v>0.31920941604405362</v>
      </c>
      <c r="BQ49" s="213">
        <f>INDEX($A$44:$H$56,MATCH($L49,$B$44:$B$56,0),MATCH($BQ$43,$A$44:$H$44,0))*고양시_Modal_split!C$7 * 0.01</f>
        <v>0</v>
      </c>
      <c r="BR49" s="207">
        <f>INDEX($A$44:$H$56,MATCH($L49,$B$44:$B$56,0),MATCH($BQ$43,$A$44:$H$44,0))*고양시_Modal_split!D$7 * 0.01</f>
        <v>0.55423266876342381</v>
      </c>
      <c r="BS49" s="207">
        <f>INDEX($A$44:$H$56,MATCH($L49,$B$44:$B$56,0),MATCH($BQ$43,$A$44:$H$44,0))*고양시_Modal_split!E$7 * 0.01</f>
        <v>2.704235769586549E-2</v>
      </c>
      <c r="BT49" s="207">
        <f>INDEX($A$44:$H$56,MATCH($L49,$B$44:$B$56,0),MATCH($BQ$43,$A$44:$H$44,0))*고양시_Modal_split!F$7 * 0.01</f>
        <v>9.0442667879148796E-3</v>
      </c>
      <c r="BU49" s="207">
        <f>INDEX($A$44:$H$56,MATCH($L49,$B$44:$B$56,0),MATCH($BQ$43,$A$44:$H$44,0))*고양시_Modal_split!G$7 * 0.01</f>
        <v>3.7985920509242496E-3</v>
      </c>
      <c r="BV49" s="207">
        <f>INDEX($A$44:$H$56,MATCH($L49,$B$44:$B$56,0),MATCH($BQ$43,$A$44:$H$44,0))*고양시_Modal_split!H$7 * 0.01</f>
        <v>5.0557451344444171E-2</v>
      </c>
      <c r="BW49" s="207">
        <f>INDEX($A$44:$H$56,MATCH($L49,$B$44:$B$56,0),MATCH($BQ$43,$A$44:$H$44,0))*고양시_Modal_split!I$7 * 0.01</f>
        <v>0.16885646093037082</v>
      </c>
      <c r="BX49" s="207">
        <f>INDEX($A$44:$H$56,MATCH($L49,$B$44:$B$56,0),MATCH($BQ$43,$A$44:$H$44,0))*고양시_Modal_split!J$7 * 0.01</f>
        <v>1.8088533575829759E-4</v>
      </c>
      <c r="BY49" s="207">
        <f>INDEX($A$44:$H$56,MATCH($L49,$B$44:$B$56,0),MATCH($BQ$43,$A$44:$H$44,0))*고양시_Modal_split!K$7 * 0.01</f>
        <v>6.964085426694458E-2</v>
      </c>
      <c r="BZ49" s="207">
        <f>INDEX($A$44:$H$56,MATCH($L49,$B$44:$B$56,0),MATCH($BQ$43,$A$44:$H$44,0))*고양시_Modal_split!L$7 * 0.01</f>
        <v>6.3309867515404152E-4</v>
      </c>
      <c r="CA49" s="207">
        <f>INDEX($A$44:$H$56,MATCH($L49,$B$44:$B$56,0),MATCH($BQ$43,$A$44:$H$44,0))*고양시_Modal_split!M$7 * 0.01</f>
        <v>1.6912778893400825E-2</v>
      </c>
      <c r="CB49" s="207">
        <f>INDEX($A$44:$H$56,MATCH($L49,$B$44:$B$56,0),MATCH($BQ$43,$A$44:$H$44,0))*고양시_Modal_split!N$7 * 0.01</f>
        <v>3.527264047286803E-3</v>
      </c>
      <c r="CC49" s="207">
        <f>INDEX($A$44:$H$56,MATCH($L49,$B$44:$B$56,0),MATCH($BQ$43,$A$44:$H$44,0))*고양시_Modal_split!O$7 * 0.01</f>
        <v>0</v>
      </c>
      <c r="CD49" s="214">
        <f>INDEX($A$44:$H$56,MATCH($L49,$B$44:$B$56,0),MATCH($BQ$43,$A$44:$H$44,0))*고양시_Modal_split!P$7 * 0.01</f>
        <v>0.90442667879148797</v>
      </c>
      <c r="CE49" s="218">
        <f t="shared" si="24"/>
        <v>809.37817548933867</v>
      </c>
      <c r="CF49" s="208">
        <f t="shared" si="7"/>
        <v>1099.3201154409523</v>
      </c>
      <c r="CG49" s="208">
        <f t="shared" si="8"/>
        <v>237.39082629808968</v>
      </c>
      <c r="CH49" s="208">
        <f t="shared" si="9"/>
        <v>59.028231815651232</v>
      </c>
      <c r="CI49" s="208">
        <f t="shared" si="10"/>
        <v>314.87635836745568</v>
      </c>
      <c r="CJ49" s="208">
        <f t="shared" si="11"/>
        <v>0.18405348921253478</v>
      </c>
      <c r="CK49" s="208">
        <f t="shared" si="12"/>
        <v>105.34776584994825</v>
      </c>
      <c r="CL49" s="208">
        <f t="shared" si="13"/>
        <v>236.42584027291758</v>
      </c>
      <c r="CM49" s="208">
        <f t="shared" si="14"/>
        <v>0.60543385909688963</v>
      </c>
      <c r="CN49" s="208">
        <f t="shared" si="15"/>
        <v>136.00465412729011</v>
      </c>
      <c r="CO49" s="208">
        <f t="shared" si="16"/>
        <v>19.386143792755057</v>
      </c>
      <c r="CP49" s="208">
        <f t="shared" si="17"/>
        <v>66.934040881323526</v>
      </c>
      <c r="CQ49" s="208">
        <f t="shared" si="18"/>
        <v>31.10767581467924</v>
      </c>
      <c r="CR49" s="219">
        <f t="shared" si="19"/>
        <v>3115.9893154987103</v>
      </c>
      <c r="CS49" s="225">
        <f t="shared" si="25"/>
        <v>0</v>
      </c>
      <c r="CV49" s="265"/>
      <c r="CW49" s="266" t="s">
        <v>16</v>
      </c>
      <c r="CX49" s="267">
        <f>INDEX($M$43:$Z$56,MATCH($CW49,$L$43:$L$56,0),MATCH(CX$44,$M$44:$Z$44,0))/INDEX(고양시_재차인원!$D$4:$H$35,MATCH("고양시",고양시_재차인원!$B$4:$B$35,0),MATCH('A.일산테크노밸리(859991)_수정'!$CX$43,고양시_재차인원!$D$4:$H$4,0))</f>
        <v>143.39987576164648</v>
      </c>
      <c r="CY49" s="267">
        <f>INDEX($M$43:$Z$56,MATCH($CW49,$L$43:$L$56,0),MATCH(CY$44,$M$44:$Z$44,0))/INDEX(고양시_재차인원!$K$4:$O$20,MATCH("경기도",고양시_재차인원!$K$4:$K$20,0),MATCH('A.일산테크노밸리(859991)_수정'!CY$44,고양시_재차인원!$K$4:$O$4,0))</f>
        <v>1.1861787898499387E-3</v>
      </c>
      <c r="CZ49" s="267">
        <f>INDEX($M$43:$Z$56,MATCH($CW49,$L$43:$L$56,0),MATCH(CZ$44,$M$44:$Z$44,0))/INDEX(고양시_재차인원!$K$4:$O$20,MATCH("경기도",고양시_재차인원!$K$4:$K$20,0),MATCH('A.일산테크노밸리(859991)_수정'!CZ$44,고양시_재차인원!$K$4:$O$4,0))</f>
        <v>0.32975770357828299</v>
      </c>
      <c r="DA49" s="267">
        <f>INDEX($M$43:$Z$56,MATCH($CW49,$L$43:$L$56,0),MATCH(DA$44,$M$44:$Z$44,0))/INDEX(고양시_재차인원!$K$4:$O$20,MATCH("경기도",고양시_재차인원!$K$4:$K$20,0),MATCH('A.일산테크노밸리(859991)_수정'!DA$44,고양시_재차인원!$K$4:$O$4,0))</f>
        <v>6.8755509217689861</v>
      </c>
      <c r="DB49" s="268">
        <f>INDEX($AA$43:$AN$56,MATCH($CW49,$L$43:$L$56,0),MATCH(DB$44,$AA$44:$AN$44,0))/INDEX(고양시_재차인원!$D$4:$H$35,MATCH("고양시",고양시_재차인원!$B$4:$B$35,0),MATCH('A.일산테크노밸리(859991)_수정'!$DB$43,고양시_재차인원!$D$4:$H$4,0))</f>
        <v>603.99781290659178</v>
      </c>
      <c r="DC49" s="267">
        <f>INDEX($AA$43:$AN$56,MATCH($CW49,$L$43:$L$56,0),MATCH(DC$44,$AA$44:$AN$44,0))/INDEX(고양시_재차인원!$K$4:$O$20,MATCH("경기도",고양시_재차인원!$K$4:$K$20,0),MATCH('A.일산테크노밸리(859991)_수정'!DC$44,고양시_재차인원!$K$4:$O$4,0))</f>
        <v>0</v>
      </c>
      <c r="DD49" s="267">
        <f>INDEX($AA$43:$AN$56,MATCH($CW49,$L$43:$L$56,0),MATCH(DD$44,$AA$44:$AN$44,0))/INDEX(고양시_재차인원!$K$4:$O$20,MATCH("경기도",고양시_재차인원!$K$4:$K$20,0),MATCH('A.일산테크노밸리(859991)_수정'!DD$44,고양시_재차인원!$K$4:$O$4,0))</f>
        <v>3.2099117891860427</v>
      </c>
      <c r="DE49" s="267">
        <f>INDEX($AA$43:$AN$56,MATCH($CW49,$L$43:$L$56,0),MATCH(DE$44,$AA$44:$AN$44,0))/INDEX(고양시_재차인원!$K$4:$O$20,MATCH("경기도",고양시_재차인원!$K$4:$K$20,0),MATCH('A.일산테크노밸리(859991)_수정'!DE$44,고양시_재차인원!$K$4:$O$4,0))</f>
        <v>81.791135076106855</v>
      </c>
      <c r="DF49" s="268">
        <f>INDEX($AO$43:$BB$56,MATCH($CW49,$L$43:$L$56,0),MATCH(DF$44,$AO$44:$BB$44,0))/INDEX(고양시_재차인원!$D$4:$H$35,MATCH("고양시",고양시_재차인원!$B$4:$B$35,0),MATCH('A.일산테크노밸리(859991)_수정'!$DF$43,고양시_재차인원!$D$4:$H$4,0))</f>
        <v>66.351360310326527</v>
      </c>
      <c r="DG49" s="267">
        <f>INDEX($AO$43:$BB$56,MATCH($CW49,$L$43:$L$56,0),MATCH(DG$44,$AO$44:$BB$44,0))/INDEX(고양시_재차인원!$K$4:$O$20,MATCH("경기도",고양시_재차인원!$K$4:$K$20,0),MATCH('A.일산테크노밸리(859991)_수정'!DG$44,고양시_재차인원!$K$4:$O$4,0))</f>
        <v>2.8619635469389246E-3</v>
      </c>
      <c r="DH49" s="267">
        <f>INDEX($AO$43:$BB$56,MATCH($CW49,$L$43:$L$56,0),MATCH(DH$44,$AO$44:$BB$44,0))/INDEX(고양시_재차인원!$K$4:$O$20,MATCH("경기도",고양시_재차인원!$K$4:$K$20,0),MATCH('A.일산테크노밸리(859991)_수정'!DH$44,고양시_재차인원!$K$4:$O$4,0))</f>
        <v>0.11325198607172601</v>
      </c>
      <c r="DI49" s="267">
        <f>INDEX($AO$43:$BB$56,MATCH($CW49,$L$43:$L$56,0),MATCH(DI$44,$AO$44:$BB$44,0))/INDEX(고양시_재차인원!$K$4:$O$20,MATCH("경기도",고양시_재차인원!$K$4:$K$20,0),MATCH('A.일산테크노밸리(859991)_수정'!DI$44,고양시_재차인원!$K$4:$O$4,0))</f>
        <v>2.0010440268261682</v>
      </c>
      <c r="DJ49" s="268">
        <f>INDEX($BC$43:$BP$56,MATCH($CW49,$L$43:$L$56,0),MATCH(DJ$44,$BC$44:$BP$44,0))/INDEX(고양시_재차인원!$D$4:$H$35,MATCH("고양시",고양시_재차인원!$B$4:$B$35,0),MATCH('A.일산테크노밸리(859991)_수정'!$DJ$43,고양시_재차인원!$D$4:$H$4,0))</f>
        <v>0.19436567457800058</v>
      </c>
      <c r="DK49" s="267">
        <f>INDEX($BC$43:$BP$56,MATCH($CW49,$L$43:$L$56,0),MATCH(DK$44,$BC$44:$BP$44,0))/INDEX(고양시_재차인원!$K$4:$O$20,MATCH("경기도",고양시_재차인원!$K$4:$K$20,0),MATCH('A.일산테크노밸리(859991)_수정'!DK$44,고양시_재차인원!$K$4:$O$4,0))</f>
        <v>5.8874678679886241E-4</v>
      </c>
      <c r="DL49" s="267">
        <f>INDEX($BC$43:$BP$56,MATCH($CW49,$L$43:$L$56,0),MATCH(DL$44,$BC$44:$BP$44,0))/INDEX(고양시_재차인원!$K$4:$O$20,MATCH("경기도",고양시_재차인원!$K$4:$K$20,0),MATCH('A.일산테크노밸리(859991)_수정'!DL$44,고양시_재차인원!$K$4:$O$4,0))</f>
        <v>3.924978578659082E-4</v>
      </c>
      <c r="DM49" s="267">
        <f>INDEX($BC$43:$BP$56,MATCH($CW49,$L$43:$L$56,0),MATCH(DM$44,$BC$44:$BP$44,0))/INDEX(고양시_재차인원!$K$4:$O$20,MATCH("경기도",고양시_재차인원!$K$4:$K$20,0),MATCH('A.일산테크노밸리(859991)_수정'!DM$44,고양시_재차인원!$K$4:$O$4,0))</f>
        <v>1.6173277079565382E-3</v>
      </c>
      <c r="DN49" s="268">
        <f>INDEX($BQ$43:$CD$56,MATCH($CW49,$L$43:$L$56,0),MATCH(DN$44,$BQ$44:$CD$44,0))/INDEX(고양시_재차인원!$D$4:$H$35,MATCH("고양시",고양시_재차인원!$B$4:$B$35,0),MATCH('A.일산테크노밸리(859991)_수정'!$DN$43,고양시_재차인원!$D$4:$H$4,0))</f>
        <v>0.43986719743128871</v>
      </c>
      <c r="DO49" s="267">
        <f>INDEX($BQ$43:$CD$56,MATCH($CW49,$L$43:$L$56,0),MATCH(DO$44,$BQ$44:$CD$44,0))/INDEX(고양시_재차인원!$K$4:$O$20,MATCH("경기도",고양시_재차인원!$K$4:$K$20,0),MATCH('A.일산테크노밸리(859991)_수정'!DO$44,고양시_재차인원!$K$4:$O$4,0))</f>
        <v>1.7560768094631528E-3</v>
      </c>
      <c r="DP49" s="267">
        <f>INDEX($BQ$43:$CD$56,MATCH($CW49,$L$43:$L$56,0),MATCH(DP$44,$BQ$44:$CD$44,0))/INDEX(고양시_재차인원!$K$4:$O$20,MATCH("경기도",고양시_재차인원!$K$4:$K$20,0),MATCH('A.일산테크노밸리(859991)_수정'!DP$44,고양시_재차인원!$K$4:$O$4,0))</f>
        <v>5.865108055935076E-3</v>
      </c>
      <c r="DQ49" s="267">
        <f>INDEX($BQ$43:$CD$56,MATCH($CW49,$L$43:$L$56,0),MATCH(DQ$44,$BQ$44:$CD$44,0))/INDEX(고양시_재차인원!$K$4:$O$20,MATCH("경기도",고양시_재차인원!$K$4:$K$20,0),MATCH('A.일산테크노밸리(859991)_수정'!DQ$44,고양시_재차인원!$K$4:$O$4,0))</f>
        <v>4.220657834360277E-4</v>
      </c>
      <c r="DR49" s="269">
        <f t="shared" si="26"/>
        <v>814.38328185057412</v>
      </c>
      <c r="DS49" s="270">
        <f t="shared" si="20"/>
        <v>6.3929659330508783E-3</v>
      </c>
      <c r="DT49" s="270">
        <f t="shared" si="21"/>
        <v>3.6591790847498524</v>
      </c>
      <c r="DU49" s="270">
        <f t="shared" si="22"/>
        <v>90.669769418193411</v>
      </c>
      <c r="DW49" s="278"/>
      <c r="DX49" s="278" t="s">
        <v>592</v>
      </c>
      <c r="DY49" s="281">
        <f t="shared" si="27"/>
        <v>905.05305126876749</v>
      </c>
      <c r="DZ49" s="281">
        <f t="shared" si="28"/>
        <v>3.6655720506829033</v>
      </c>
      <c r="EC49" s="412" t="s">
        <v>14</v>
      </c>
      <c r="ED49" s="412" t="s">
        <v>79</v>
      </c>
      <c r="EE49" s="412">
        <v>7192.9411</v>
      </c>
      <c r="EF49" s="412">
        <v>0.56870722672698226</v>
      </c>
      <c r="EG49" s="413">
        <v>859005</v>
      </c>
      <c r="EH49" s="414">
        <f t="shared" si="29"/>
        <v>163.49940107321865</v>
      </c>
      <c r="EI49" s="415">
        <f t="shared" si="30"/>
        <v>0.66219193895564155</v>
      </c>
      <c r="EJ49" s="402">
        <v>0</v>
      </c>
      <c r="EM49" s="278" t="s">
        <v>14</v>
      </c>
      <c r="EN49" s="278" t="s">
        <v>79</v>
      </c>
      <c r="EO49" s="278">
        <v>7192.9411</v>
      </c>
      <c r="EP49" s="278">
        <v>0.56870722672698226</v>
      </c>
      <c r="EQ49" s="289">
        <v>859005</v>
      </c>
      <c r="ER49" s="290">
        <f t="shared" si="31"/>
        <v>163.49940107321865</v>
      </c>
      <c r="ES49" s="291">
        <f t="shared" si="23"/>
        <v>0.66219193895564155</v>
      </c>
      <c r="ET49" s="402">
        <v>0</v>
      </c>
      <c r="EV49" s="34"/>
      <c r="EW49" s="34"/>
      <c r="EX49" s="34"/>
      <c r="EY49" s="34"/>
      <c r="EZ49" s="378"/>
      <c r="FA49" s="401"/>
      <c r="FB49" s="402"/>
      <c r="FC49" s="402"/>
    </row>
    <row r="50" spans="1:159" ht="27" customHeight="1">
      <c r="A50" s="205"/>
      <c r="B50" s="205" t="s">
        <v>17</v>
      </c>
      <c r="C50" s="400">
        <f>'A.일산테크노밸리(859991)_수정'!$P33*KTDB_TripDistribution_2035!L$12 * (1 + KTDB_발생량도착량_증가율!$D$7*5) * (1 + KTDB_발생량도착량_증가율!$E$7*5)</f>
        <v>291.5357330586794</v>
      </c>
      <c r="D50" s="400">
        <f>'A.일산테크노밸리(859991)_수정'!$P33*KTDB_TripDistribution_2035!M$12 * (1 + KTDB_발생량도착량_증가율!$D$7*5) * (1 + KTDB_발생량도착량_증가율!$E$7*5)</f>
        <v>2267.0207377510537</v>
      </c>
      <c r="E50" s="400">
        <f>'A.일산테크노밸리(859991)_수정'!$P33*KTDB_TripDistribution_2035!N$12 * (1 + KTDB_발생량도착량_증가율!$D$7*5) * (1 + KTDB_발생량도착량_증가율!$E$7*5)</f>
        <v>100.48649468645107</v>
      </c>
      <c r="F50" s="400">
        <f>'A.일산테크노밸리(859991)_수정'!$P33*KTDB_TripDistribution_2035!O$12 * (1 + KTDB_발생량도착량_증가율!$D$7*5) * (1 + KTDB_발생량도착량_증가율!$E$7*5)</f>
        <v>0.27250574830223911</v>
      </c>
      <c r="G50" s="400">
        <f>'A.일산테크노밸리(859991)_수정'!$P33*KTDB_TripDistribution_2035!P$12 * (1 + KTDB_발생량도착량_증가율!$D$7*5) * (1 + KTDB_발생량도착량_증가율!$E$7*5)</f>
        <v>0.77209962018967992</v>
      </c>
      <c r="H50" s="400">
        <f>'A.일산테크노밸리(859991)_수정'!$P33*KTDB_TripDistribution_2035!Q$12 * (1 + KTDB_발생량도착량_증가율!$D$7*5) * (1 + KTDB_발생량도착량_증가율!$E$7*5)</f>
        <v>2660.0875708646759</v>
      </c>
      <c r="J50" s="230">
        <f t="shared" si="6"/>
        <v>2660.0875708646759</v>
      </c>
      <c r="K50" s="206"/>
      <c r="L50" s="209" t="s">
        <v>17</v>
      </c>
      <c r="M50" s="213">
        <f>INDEX($A$44:$H$56,MATCH($L50,$B$44:$B$56,0),MATCH($M$43,$A$44:$H$44,0))*고양시_Modal_split!C$3 * 0.01</f>
        <v>0.81630005256430227</v>
      </c>
      <c r="N50" s="207">
        <f>INDEX($A$44:$H$56,MATCH($L50,$B$44:$B$56,0),MATCH($M$43,$A$44:$H$44,0))*고양시_Modal_split!D$3 * 0.01</f>
        <v>137.10925525749693</v>
      </c>
      <c r="O50" s="207">
        <f>INDEX($A$44:$H$56,MATCH($L50,$B$44:$B$56,0),MATCH($M$43,$A$44:$H$44,0))*고양시_Modal_split!E$3 * 0.01</f>
        <v>16.588383211038856</v>
      </c>
      <c r="P50" s="207">
        <f>INDEX($A$44:$H$56,MATCH($L50,$B$44:$B$56,0),MATCH($M$43,$A$44:$H$44,0))*고양시_Modal_split!F$3 * 0.01</f>
        <v>26.733826721480902</v>
      </c>
      <c r="Q50" s="207">
        <f>INDEX($A$44:$H$56,MATCH($L50,$B$44:$B$56,0),MATCH($M$43,$A$44:$H$44,0))*고양시_Modal_split!G$3 * 0.01</f>
        <v>2.6821287441398507</v>
      </c>
      <c r="R50" s="207">
        <f>INDEX($A$44:$H$56,MATCH($L50,$B$44:$B$56,0),MATCH($M$43,$A$44:$H$44,0))*고양시_Modal_split!H$3 * 0.01</f>
        <v>2.9153573305867941E-2</v>
      </c>
      <c r="S50" s="207">
        <f>INDEX($A$44:$H$56,MATCH($L50,$B$44:$B$56,0),MATCH($M$43,$A$44:$H$44,0))*고양시_Modal_split!I$3 * 0.01</f>
        <v>8.1046933790312874</v>
      </c>
      <c r="T50" s="207">
        <f>INDEX($A$44:$H$56,MATCH($L50,$B$44:$B$56,0),MATCH($M$43,$A$44:$H$44,0))*고양시_Modal_split!J$3 * 0.01</f>
        <v>88.743477143062009</v>
      </c>
      <c r="U50" s="207">
        <f>INDEX($A$44:$H$56,MATCH($L50,$B$44:$B$56,0),MATCH($M$43,$A$44:$H$44,0))*고양시_Modal_split!K$3 * 0.01</f>
        <v>0.43730359958801907</v>
      </c>
      <c r="V50" s="207">
        <f>INDEX($A$44:$H$56,MATCH($L50,$B$44:$B$56,0),MATCH($M$43,$A$44:$H$44,0))*고양시_Modal_split!L$3 * 0.01</f>
        <v>8.8043791383721182</v>
      </c>
      <c r="W50" s="207">
        <f>INDEX($A$44:$H$56,MATCH($L50,$B$44:$B$56,0),MATCH($M$43,$A$44:$H$44,0))*고양시_Modal_split!M$3 * 0.01</f>
        <v>0.67053218603496267</v>
      </c>
      <c r="X50" s="207">
        <f>INDEX($A$44:$H$56,MATCH($L50,$B$44:$B$56,0),MATCH($M$43,$A$44:$H$44,0))*고양시_Modal_split!N$3 * 0.01</f>
        <v>0.29153573305867941</v>
      </c>
      <c r="Y50" s="207">
        <f>INDEX($A$44:$H$56,MATCH($L50,$B$44:$B$56,0),MATCH($M$43,$A$44:$H$44,0))*고양시_Modal_split!O$3 * 0.01</f>
        <v>0.52476431950562286</v>
      </c>
      <c r="Z50" s="214">
        <f>INDEX($A$44:$H$56,MATCH($L50,$B$44:$B$56,0),MATCH($M$43,$A$44:$H$44,0))*고양시_Modal_split!P$3 * 0.01</f>
        <v>291.5357330586794</v>
      </c>
      <c r="AA50" s="213">
        <f>INDEX($A$44:$H$56,MATCH($L50,$B$44:$B$56,0),MATCH($AA$43,$A$44:$H$44,0))*고양시_Modal_split!C$4 * 0.01</f>
        <v>690.08111257142082</v>
      </c>
      <c r="AB50" s="207">
        <f>INDEX($A$44:$H$56,MATCH($L50,$B$44:$B$56,0),MATCH($AA$43,$A$44:$H$44,0))*고양시_Modal_split!D$4 * 0.01</f>
        <v>727.03355059676301</v>
      </c>
      <c r="AC50" s="207">
        <f>INDEX($A$44:$H$56,MATCH($L50,$B$44:$B$56,0),MATCH($AA$43,$A$44:$H$44,0))*고양시_Modal_split!E$4 * 0.01</f>
        <v>176.14751132325688</v>
      </c>
      <c r="AD50" s="207">
        <f>INDEX($A$44:$H$56,MATCH($L50,$B$44:$B$56,0),MATCH($AA$43,$A$44:$H$44,0))*고양시_Modal_split!F$4 * 0.01</f>
        <v>21.536697008635009</v>
      </c>
      <c r="AE50" s="207">
        <f>INDEX($A$44:$H$56,MATCH($L50,$B$44:$B$56,0),MATCH($AA$43,$A$44:$H$44,0))*고양시_Modal_split!G$4 * 0.01</f>
        <v>265.46812839064836</v>
      </c>
      <c r="AF50" s="207">
        <f>INDEX($A$44:$H$56,MATCH($L50,$B$44:$B$56,0),MATCH($AA$43,$A$44:$H$44,0))*고양시_Modal_split!H$4 * 0.01</f>
        <v>0</v>
      </c>
      <c r="AG50" s="207">
        <f>INDEX($A$44:$H$56,MATCH($L50,$B$44:$B$56,0),MATCH($AA$43,$A$44:$H$44,0))*고양시_Modal_split!I$4 * 0.01</f>
        <v>78.89232167373666</v>
      </c>
      <c r="AH50" s="207">
        <f>INDEX($A$44:$H$56,MATCH($L50,$B$44:$B$56,0),MATCH($AA$43,$A$44:$H$44,0))*고양시_Modal_split!J$4 * 0.01</f>
        <v>106.77667674807462</v>
      </c>
      <c r="AI50" s="207">
        <f>INDEX($A$44:$H$56,MATCH($L50,$B$44:$B$56,0),MATCH($AA$43,$A$44:$H$44,0))*고양시_Modal_split!K$4 * 0.01</f>
        <v>0</v>
      </c>
      <c r="AJ50" s="207">
        <f>INDEX($A$44:$H$56,MATCH($L50,$B$44:$B$56,0),MATCH($AA$43,$A$44:$H$44,0))*고양시_Modal_split!L$4 * 0.01</f>
        <v>104.73635808409868</v>
      </c>
      <c r="AK50" s="207">
        <f>INDEX($A$44:$H$56,MATCH($L50,$B$44:$B$56,0),MATCH($AA$43,$A$44:$H$44,0))*고양시_Modal_split!M$4 * 0.01</f>
        <v>15.189038942932061</v>
      </c>
      <c r="AL50" s="207">
        <f>INDEX($A$44:$H$56,MATCH($L50,$B$44:$B$56,0),MATCH($AA$43,$A$44:$H$44,0))*고양시_Modal_split!N$4 * 0.01</f>
        <v>56.675518443776348</v>
      </c>
      <c r="AM50" s="207">
        <f>INDEX($A$44:$H$56,MATCH($L50,$B$44:$B$56,0),MATCH($AA$43,$A$44:$H$44,0))*고양시_Modal_split!O$4 * 0.01</f>
        <v>24.483823967711384</v>
      </c>
      <c r="AN50" s="214">
        <f>INDEX($A$44:$H$56,MATCH($L50,$B$44:$B$56,0),MATCH($AA$43,$A$44:$H$44,0))*고양시_Modal_split!P$4 * 0.01</f>
        <v>2267.0207377510537</v>
      </c>
      <c r="AO50" s="213">
        <f>INDEX($A$44:$H$56,MATCH($L50,$B$44:$B$56,0),MATCH($AO$43,$A$44:$H$44,0))*고양시_Modal_split!C$5 * 0.01</f>
        <v>6.0291896811870638E-2</v>
      </c>
      <c r="AP50" s="207">
        <f>INDEX($A$44:$H$56,MATCH($L50,$B$44:$B$56,0),MATCH($AO$43,$A$44:$H$44,0))*고양시_Modal_split!D$5 * 0.01</f>
        <v>73.636503306231347</v>
      </c>
      <c r="AQ50" s="207">
        <f>INDEX($A$44:$H$56,MATCH($L50,$B$44:$B$56,0),MATCH($AO$43,$A$44:$H$44,0))*고양시_Modal_split!E$5 * 0.01</f>
        <v>9.8979197266154308</v>
      </c>
      <c r="AR50" s="207">
        <f>INDEX($A$44:$H$56,MATCH($L50,$B$44:$B$56,0),MATCH($AO$43,$A$44:$H$44,0))*고양시_Modal_split!F$5 * 0.01</f>
        <v>2.1102163884154725</v>
      </c>
      <c r="AS50" s="207">
        <f>INDEX($A$44:$H$56,MATCH($L50,$B$44:$B$56,0),MATCH($AO$43,$A$44:$H$44,0))*고양시_Modal_split!G$5 * 0.01</f>
        <v>0.65316221546193187</v>
      </c>
      <c r="AT50" s="207">
        <f>INDEX($A$44:$H$56,MATCH($L50,$B$44:$B$56,0),MATCH($AO$43,$A$44:$H$44,0))*고양시_Modal_split!H$5 * 0.01</f>
        <v>7.0340546280515739E-2</v>
      </c>
      <c r="AU50" s="207">
        <f>INDEX($A$44:$H$56,MATCH($L50,$B$44:$B$56,0),MATCH($AO$43,$A$44:$H$44,0))*고양시_Modal_split!I$5 * 0.01</f>
        <v>2.7834759028146947</v>
      </c>
      <c r="AV50" s="207">
        <f>INDEX($A$44:$H$56,MATCH($L50,$B$44:$B$56,0),MATCH($AO$43,$A$44:$H$44,0))*고양시_Modal_split!J$5 * 0.01</f>
        <v>6.3005032168404824</v>
      </c>
      <c r="AW50" s="207">
        <f>INDEX($A$44:$H$56,MATCH($L50,$B$44:$B$56,0),MATCH($AO$43,$A$44:$H$44,0))*고양시_Modal_split!K$5 * 0.01</f>
        <v>2.0097298937290217E-2</v>
      </c>
      <c r="AX50" s="207">
        <f>INDEX($A$44:$H$56,MATCH($L50,$B$44:$B$56,0),MATCH($AO$43,$A$44:$H$44,0))*고양시_Modal_split!L$5 * 0.01</f>
        <v>2.5624056145045024</v>
      </c>
      <c r="AY50" s="207">
        <f>INDEX($A$44:$H$56,MATCH($L50,$B$44:$B$56,0),MATCH($AO$43,$A$44:$H$44,0))*고양시_Modal_split!M$5 * 0.01</f>
        <v>0.67325951439922227</v>
      </c>
      <c r="AZ50" s="207">
        <f>INDEX($A$44:$H$56,MATCH($L50,$B$44:$B$56,0),MATCH($AO$43,$A$44:$H$44,0))*고양시_Modal_split!N$5 * 0.01</f>
        <v>0.1708270409669668</v>
      </c>
      <c r="BA50" s="207">
        <f>INDEX($A$44:$H$56,MATCH($L50,$B$44:$B$56,0),MATCH($AO$43,$A$44:$H$44,0))*고양시_Modal_split!O$5 * 0.01</f>
        <v>1.5474920181713463</v>
      </c>
      <c r="BB50" s="214">
        <f>INDEX($A$44:$H$56,MATCH($L50,$B$44:$B$56,0),MATCH($AO$43,$A$44:$H$44,0))*고양시_Modal_split!P$5 * 0.01</f>
        <v>100.48649468645107</v>
      </c>
      <c r="BC50" s="213">
        <f>INDEX($A$44:$H$56,MATCH($L50,$B$44:$B$56,0),MATCH($BC$43,$A$44:$H$44,0))*고양시_Modal_split!C$6 * 0.01</f>
        <v>0</v>
      </c>
      <c r="BD50" s="207">
        <f>INDEX($A$44:$H$56,MATCH($L50,$B$44:$B$56,0),MATCH($BC$43,$A$44:$H$44,0))*고양시_Modal_split!D$6 * 0.01</f>
        <v>0.22566201016908419</v>
      </c>
      <c r="BE50" s="207">
        <f>INDEX($A$44:$H$56,MATCH($L50,$B$44:$B$56,0),MATCH($BC$43,$A$44:$H$44,0))*고양시_Modal_split!E$6 * 0.01</f>
        <v>1.1717747176996282E-3</v>
      </c>
      <c r="BF50" s="207">
        <f>INDEX($A$44:$H$56,MATCH($L50,$B$44:$B$56,0),MATCH($BC$43,$A$44:$H$44,0))*고양시_Modal_split!F$6 * 0.01</f>
        <v>3.3245701292873172E-3</v>
      </c>
      <c r="BG50" s="207">
        <f>INDEX($A$44:$H$56,MATCH($L50,$B$44:$B$56,0),MATCH($BC$43,$A$44:$H$44,0))*고양시_Modal_split!G$6 * 0.01</f>
        <v>0</v>
      </c>
      <c r="BH50" s="207">
        <f>INDEX($A$44:$H$56,MATCH($L50,$B$44:$B$56,0),MATCH($BC$43,$A$44:$H$44,0))*고양시_Modal_split!H$6 * 0.01</f>
        <v>1.4470055234848898E-2</v>
      </c>
      <c r="BI50" s="207">
        <f>INDEX($A$44:$H$56,MATCH($L50,$B$44:$B$56,0),MATCH($BC$43,$A$44:$H$44,0))*고양시_Modal_split!I$6 * 0.01</f>
        <v>9.6467034898992648E-3</v>
      </c>
      <c r="BJ50" s="207">
        <f>INDEX($A$44:$H$56,MATCH($L50,$B$44:$B$56,0),MATCH($BC$43,$A$44:$H$44,0))*고양시_Modal_split!J$6 * 0.01</f>
        <v>1.3461783966130611E-2</v>
      </c>
      <c r="BK50" s="207">
        <f>INDEX($A$44:$H$56,MATCH($L50,$B$44:$B$56,0),MATCH($BC$43,$A$44:$H$44,0))*고양시_Modal_split!K$6 * 0.01</f>
        <v>0</v>
      </c>
      <c r="BL50" s="207">
        <f>INDEX($A$44:$H$56,MATCH($L50,$B$44:$B$56,0),MATCH($BC$43,$A$44:$H$44,0))*고양시_Modal_split!L$6 * 0.01</f>
        <v>2.0710436870970171E-3</v>
      </c>
      <c r="BM50" s="207">
        <f>INDEX($A$44:$H$56,MATCH($L50,$B$44:$B$56,0),MATCH($BC$43,$A$44:$H$44,0))*고양시_Modal_split!M$6 * 0.01</f>
        <v>2.4798023095503759E-3</v>
      </c>
      <c r="BN50" s="207">
        <f>INDEX($A$44:$H$56,MATCH($L50,$B$44:$B$56,0),MATCH($BC$43,$A$44:$H$44,0))*고양시_Modal_split!N$6 * 0.01</f>
        <v>0</v>
      </c>
      <c r="BO50" s="207">
        <f>INDEX($A$44:$H$56,MATCH($L50,$B$44:$B$56,0),MATCH($BC$43,$A$44:$H$44,0))*고양시_Modal_split!O$6 * 0.01</f>
        <v>2.180045986417913E-4</v>
      </c>
      <c r="BP50" s="214">
        <f>INDEX($A$44:$H$56,MATCH($L50,$B$44:$B$56,0),MATCH($BC$43,$A$44:$H$44,0))*고양시_Modal_split!P$6 * 0.01</f>
        <v>0.27250574830223911</v>
      </c>
      <c r="BQ50" s="213">
        <f>INDEX($A$44:$H$56,MATCH($L50,$B$44:$B$56,0),MATCH($BQ$43,$A$44:$H$44,0))*고양시_Modal_split!C$7 * 0.01</f>
        <v>0</v>
      </c>
      <c r="BR50" s="207">
        <f>INDEX($A$44:$H$56,MATCH($L50,$B$44:$B$56,0),MATCH($BQ$43,$A$44:$H$44,0))*고양시_Modal_split!D$7 * 0.01</f>
        <v>0.47314264725223587</v>
      </c>
      <c r="BS50" s="207">
        <f>INDEX($A$44:$H$56,MATCH($L50,$B$44:$B$56,0),MATCH($BQ$43,$A$44:$H$44,0))*고양시_Modal_split!E$7 * 0.01</f>
        <v>2.308577864367143E-2</v>
      </c>
      <c r="BT50" s="207">
        <f>INDEX($A$44:$H$56,MATCH($L50,$B$44:$B$56,0),MATCH($BQ$43,$A$44:$H$44,0))*고양시_Modal_split!F$7 * 0.01</f>
        <v>7.7209962018967996E-3</v>
      </c>
      <c r="BU50" s="207">
        <f>INDEX($A$44:$H$56,MATCH($L50,$B$44:$B$56,0),MATCH($BQ$43,$A$44:$H$44,0))*고양시_Modal_split!G$7 * 0.01</f>
        <v>3.242818404796656E-3</v>
      </c>
      <c r="BV50" s="207">
        <f>INDEX($A$44:$H$56,MATCH($L50,$B$44:$B$56,0),MATCH($BQ$43,$A$44:$H$44,0))*고양시_Modal_split!H$7 * 0.01</f>
        <v>4.3160368768603109E-2</v>
      </c>
      <c r="BW50" s="207">
        <f>INDEX($A$44:$H$56,MATCH($L50,$B$44:$B$56,0),MATCH($BQ$43,$A$44:$H$44,0))*고양시_Modal_split!I$7 * 0.01</f>
        <v>0.14415099908941326</v>
      </c>
      <c r="BX50" s="207">
        <f>INDEX($A$44:$H$56,MATCH($L50,$B$44:$B$56,0),MATCH($BQ$43,$A$44:$H$44,0))*고양시_Modal_split!J$7 * 0.01</f>
        <v>1.54419924037936E-4</v>
      </c>
      <c r="BY50" s="207">
        <f>INDEX($A$44:$H$56,MATCH($L50,$B$44:$B$56,0),MATCH($BQ$43,$A$44:$H$44,0))*고양시_Modal_split!K$7 * 0.01</f>
        <v>5.9451670754605355E-2</v>
      </c>
      <c r="BZ50" s="207">
        <f>INDEX($A$44:$H$56,MATCH($L50,$B$44:$B$56,0),MATCH($BQ$43,$A$44:$H$44,0))*고양시_Modal_split!L$7 * 0.01</f>
        <v>5.4046973413277596E-4</v>
      </c>
      <c r="CA50" s="207">
        <f>INDEX($A$44:$H$56,MATCH($L50,$B$44:$B$56,0),MATCH($BQ$43,$A$44:$H$44,0))*고양시_Modal_split!M$7 * 0.01</f>
        <v>1.4438262897547016E-2</v>
      </c>
      <c r="CB50" s="207">
        <f>INDEX($A$44:$H$56,MATCH($L50,$B$44:$B$56,0),MATCH($BQ$43,$A$44:$H$44,0))*고양시_Modal_split!N$7 * 0.01</f>
        <v>3.0111885187397514E-3</v>
      </c>
      <c r="CC50" s="207">
        <f>INDEX($A$44:$H$56,MATCH($L50,$B$44:$B$56,0),MATCH($BQ$43,$A$44:$H$44,0))*고양시_Modal_split!O$7 * 0.01</f>
        <v>0</v>
      </c>
      <c r="CD50" s="214">
        <f>INDEX($A$44:$H$56,MATCH($L50,$B$44:$B$56,0),MATCH($BQ$43,$A$44:$H$44,0))*고양시_Modal_split!P$7 * 0.01</f>
        <v>0.77209962018967992</v>
      </c>
      <c r="CE50" s="218">
        <f t="shared" si="24"/>
        <v>690.95770452079705</v>
      </c>
      <c r="CF50" s="208">
        <f t="shared" si="7"/>
        <v>938.47811381791257</v>
      </c>
      <c r="CG50" s="208">
        <f t="shared" si="8"/>
        <v>202.65807181427255</v>
      </c>
      <c r="CH50" s="208">
        <f t="shared" si="9"/>
        <v>50.391785684862569</v>
      </c>
      <c r="CI50" s="208">
        <f t="shared" si="10"/>
        <v>268.8066621686549</v>
      </c>
      <c r="CJ50" s="208">
        <f t="shared" si="11"/>
        <v>0.15712454358983569</v>
      </c>
      <c r="CK50" s="208">
        <f t="shared" si="12"/>
        <v>89.934288658161961</v>
      </c>
      <c r="CL50" s="208">
        <f t="shared" si="13"/>
        <v>201.83427331186729</v>
      </c>
      <c r="CM50" s="208">
        <f t="shared" si="14"/>
        <v>0.51685256927991463</v>
      </c>
      <c r="CN50" s="208">
        <f t="shared" si="15"/>
        <v>116.10575435039652</v>
      </c>
      <c r="CO50" s="208">
        <f t="shared" si="16"/>
        <v>16.549748708573343</v>
      </c>
      <c r="CP50" s="208">
        <f t="shared" si="17"/>
        <v>57.140892406320738</v>
      </c>
      <c r="CQ50" s="208">
        <f t="shared" si="18"/>
        <v>26.556298309986996</v>
      </c>
      <c r="CR50" s="219">
        <f t="shared" si="19"/>
        <v>2660.0875708646759</v>
      </c>
      <c r="CS50" s="225">
        <f t="shared" si="25"/>
        <v>0</v>
      </c>
      <c r="CV50" s="265"/>
      <c r="CW50" s="266" t="s">
        <v>17</v>
      </c>
      <c r="CX50" s="267">
        <f>INDEX($M$43:$Z$56,MATCH($CW50,$L$43:$L$56,0),MATCH(CX$44,$M$44:$Z$44,0))/INDEX(고양시_재차인원!$D$4:$H$35,MATCH("고양시",고양시_재차인원!$B$4:$B$35,0),MATCH('A.일산테크노밸리(859991)_수정'!$CX$43,고양시_재차인원!$D$4:$H$4,0))</f>
        <v>122.41897790847939</v>
      </c>
      <c r="CY50" s="267">
        <f>INDEX($M$43:$Z$56,MATCH($CW50,$L$43:$L$56,0),MATCH(CY$44,$M$44:$Z$44,0))/INDEX(고양시_재차인원!$K$4:$O$20,MATCH("경기도",고양시_재차인원!$K$4:$K$20,0),MATCH('A.일산테크노밸리(859991)_수정'!CY$44,고양시_재차인원!$K$4:$O$4,0))</f>
        <v>1.0126284580016652E-3</v>
      </c>
      <c r="CZ50" s="267">
        <f>INDEX($M$43:$Z$56,MATCH($CW50,$L$43:$L$56,0),MATCH(CZ$44,$M$44:$Z$44,0))/INDEX(고양시_재차인원!$K$4:$O$20,MATCH("경기도",고양시_재차인원!$K$4:$K$20,0),MATCH('A.일산테크노밸리(859991)_수정'!CZ$44,고양시_재차인원!$K$4:$O$4,0))</f>
        <v>0.28151071132446293</v>
      </c>
      <c r="DA50" s="267">
        <f>INDEX($M$43:$Z$56,MATCH($CW50,$L$43:$L$56,0),MATCH(DA$44,$M$44:$Z$44,0))/INDEX(고양시_재차인원!$K$4:$O$20,MATCH("경기도",고양시_재차인원!$K$4:$K$20,0),MATCH('A.일산테크노밸리(859991)_수정'!DA$44,고양시_재차인원!$K$4:$O$4,0))</f>
        <v>5.8695860922480785</v>
      </c>
      <c r="DB50" s="268">
        <f>INDEX($AA$43:$AN$56,MATCH($CW50,$L$43:$L$56,0),MATCH(DB$44,$AA$44:$AN$44,0))/INDEX(고양시_재차인원!$D$4:$H$35,MATCH("고양시",고양시_재차인원!$B$4:$B$35,0),MATCH('A.일산테크노밸리(859991)_수정'!$DB$43,고양시_재차인원!$D$4:$H$4,0))</f>
        <v>515.62663162890999</v>
      </c>
      <c r="DC50" s="267">
        <f>INDEX($AA$43:$AN$56,MATCH($CW50,$L$43:$L$56,0),MATCH(DC$44,$AA$44:$AN$44,0))/INDEX(고양시_재차인원!$K$4:$O$20,MATCH("경기도",고양시_재차인원!$K$4:$K$20,0),MATCH('A.일산테크노밸리(859991)_수정'!DC$44,고양시_재차인원!$K$4:$O$4,0))</f>
        <v>0</v>
      </c>
      <c r="DD50" s="267">
        <f>INDEX($AA$43:$AN$56,MATCH($CW50,$L$43:$L$56,0),MATCH(DD$44,$AA$44:$AN$44,0))/INDEX(고양시_재차인원!$K$4:$O$20,MATCH("경기도",고양시_재차인원!$K$4:$K$20,0),MATCH('A.일산테크노밸리(859991)_수정'!DD$44,고양시_재차인원!$K$4:$O$4,0))</f>
        <v>2.7402682067987727</v>
      </c>
      <c r="DE50" s="267">
        <f>INDEX($AA$43:$AN$56,MATCH($CW50,$L$43:$L$56,0),MATCH(DE$44,$AA$44:$AN$44,0))/INDEX(고양시_재차인원!$K$4:$O$20,MATCH("경기도",고양시_재차인원!$K$4:$K$20,0),MATCH('A.일산테크노밸리(859991)_수정'!DE$44,고양시_재차인원!$K$4:$O$4,0))</f>
        <v>69.82423872273246</v>
      </c>
      <c r="DF50" s="268">
        <f>INDEX($AO$43:$BB$56,MATCH($CW50,$L$43:$L$56,0),MATCH(DF$44,$AO$44:$BB$44,0))/INDEX(고양시_재차인원!$D$4:$H$35,MATCH("고양시",고양시_재차인원!$B$4:$B$35,0),MATCH('A.일산테크노밸리(859991)_수정'!$DF$43,고양시_재차인원!$D$4:$H$4,0))</f>
        <v>56.643464081716417</v>
      </c>
      <c r="DG50" s="267">
        <f>INDEX($AO$43:$BB$56,MATCH($CW50,$L$43:$L$56,0),MATCH(DG$44,$AO$44:$BB$44,0))/INDEX(고양시_재차인원!$K$4:$O$20,MATCH("경기도",고양시_재차인원!$K$4:$K$20,0),MATCH('A.일산테크노밸리(859991)_수정'!DG$44,고양시_재차인원!$K$4:$O$4,0))</f>
        <v>2.4432284223867922E-3</v>
      </c>
      <c r="DH50" s="267">
        <f>INDEX($AO$43:$BB$56,MATCH($CW50,$L$43:$L$56,0),MATCH(DH$44,$AO$44:$BB$44,0))/INDEX(고양시_재차인원!$K$4:$O$20,MATCH("경기도",고양시_재차인원!$K$4:$K$20,0),MATCH('A.일산테크노밸리(859991)_수정'!DH$44,고양시_재차인원!$K$4:$O$4,0))</f>
        <v>9.6682039000163075E-2</v>
      </c>
      <c r="DI50" s="267">
        <f>INDEX($AO$43:$BB$56,MATCH($CW50,$L$43:$L$56,0),MATCH(DI$44,$AO$44:$BB$44,0))/INDEX(고양시_재차인원!$K$4:$O$20,MATCH("경기도",고양시_재차인원!$K$4:$K$20,0),MATCH('A.일산테크노밸리(859991)_수정'!DI$44,고양시_재차인원!$K$4:$O$4,0))</f>
        <v>1.7082704096696684</v>
      </c>
      <c r="DJ50" s="268">
        <f>INDEX($BC$43:$BP$56,MATCH($CW50,$L$43:$L$56,0),MATCH(DJ$44,$BC$44:$BP$44,0))/INDEX(고양시_재차인원!$D$4:$H$35,MATCH("고양시",고양시_재차인원!$B$4:$B$35,0),MATCH('A.일산테크노밸리(859991)_수정'!$DJ$43,고양시_재차인원!$D$4:$H$4,0))</f>
        <v>0.16592794865373836</v>
      </c>
      <c r="DK50" s="267">
        <f>INDEX($BC$43:$BP$56,MATCH($CW50,$L$43:$L$56,0),MATCH(DK$44,$BC$44:$BP$44,0))/INDEX(고양시_재차인원!$K$4:$O$20,MATCH("경기도",고양시_재차인원!$K$4:$K$20,0),MATCH('A.일산테크노밸리(859991)_수정'!DK$44,고양시_재차인원!$K$4:$O$4,0))</f>
        <v>5.0260698974813822E-4</v>
      </c>
      <c r="DL50" s="267">
        <f>INDEX($BC$43:$BP$56,MATCH($CW50,$L$43:$L$56,0),MATCH(DL$44,$BC$44:$BP$44,0))/INDEX(고양시_재차인원!$K$4:$O$20,MATCH("경기도",고양시_재차인원!$K$4:$K$20,0),MATCH('A.일산테크노밸리(859991)_수정'!DL$44,고양시_재차인원!$K$4:$O$4,0))</f>
        <v>3.3507132649875879E-4</v>
      </c>
      <c r="DM50" s="267">
        <f>INDEX($BC$43:$BP$56,MATCH($CW50,$L$43:$L$56,0),MATCH(DM$44,$BC$44:$BP$44,0))/INDEX(고양시_재차인원!$K$4:$O$20,MATCH("경기도",고양시_재차인원!$K$4:$K$20,0),MATCH('A.일산테크노밸리(859991)_수정'!DM$44,고양시_재차인원!$K$4:$O$4,0))</f>
        <v>1.3806957913980115E-3</v>
      </c>
      <c r="DN50" s="268">
        <f>INDEX($BQ$43:$CD$56,MATCH($CW50,$L$43:$L$56,0),MATCH(DN$44,$BQ$44:$CD$44,0))/INDEX(고양시_재차인원!$D$4:$H$35,MATCH("고양시",고양시_재차인원!$B$4:$B$35,0),MATCH('A.일산테크노밸리(859991)_수정'!$DN$43,고양시_재차인원!$D$4:$H$4,0))</f>
        <v>0.37551003750177447</v>
      </c>
      <c r="DO50" s="267">
        <f>INDEX($BQ$43:$CD$56,MATCH($CW50,$L$43:$L$56,0),MATCH(DO$44,$BQ$44:$CD$44,0))/INDEX(고양시_재차인원!$K$4:$O$20,MATCH("경기도",고양시_재차인원!$K$4:$K$20,0),MATCH('A.일산테크노밸리(859991)_수정'!DO$44,고양시_재차인원!$K$4:$O$4,0))</f>
        <v>1.4991444518444984E-3</v>
      </c>
      <c r="DP50" s="267">
        <f>INDEX($BQ$43:$CD$56,MATCH($CW50,$L$43:$L$56,0),MATCH(DP$44,$BQ$44:$CD$44,0))/INDEX(고양시_재차인원!$K$4:$O$20,MATCH("경기도",고양시_재차인원!$K$4:$K$20,0),MATCH('A.일산테크노밸리(859991)_수정'!DP$44,고양시_재차인원!$K$4:$O$4,0))</f>
        <v>5.006981559201572E-3</v>
      </c>
      <c r="DQ50" s="267">
        <f>INDEX($BQ$43:$CD$56,MATCH($CW50,$L$43:$L$56,0),MATCH(DQ$44,$BQ$44:$CD$44,0))/INDEX(고양시_재차인원!$K$4:$O$20,MATCH("경기도",고양시_재차인원!$K$4:$K$20,0),MATCH('A.일산테크노밸리(859991)_수정'!DQ$44,고양시_재차인원!$K$4:$O$4,0))</f>
        <v>3.6031315608851729E-4</v>
      </c>
      <c r="DR50" s="269">
        <f t="shared" si="26"/>
        <v>695.2305116052612</v>
      </c>
      <c r="DS50" s="270">
        <f t="shared" si="20"/>
        <v>5.4576083219810946E-3</v>
      </c>
      <c r="DT50" s="270">
        <f t="shared" si="21"/>
        <v>3.123803010009099</v>
      </c>
      <c r="DU50" s="270">
        <f t="shared" si="22"/>
        <v>77.403836233597701</v>
      </c>
      <c r="DW50" s="278"/>
      <c r="DX50" s="278" t="s">
        <v>593</v>
      </c>
      <c r="DY50" s="281">
        <f t="shared" si="27"/>
        <v>772.63434783885896</v>
      </c>
      <c r="DZ50" s="281">
        <f t="shared" si="28"/>
        <v>3.12926061833108</v>
      </c>
      <c r="EC50" s="412" t="s">
        <v>15</v>
      </c>
      <c r="ED50" s="412" t="s">
        <v>570</v>
      </c>
      <c r="EE50" s="412">
        <v>24085.599100000003</v>
      </c>
      <c r="EF50" s="412">
        <v>0.11186292027724311</v>
      </c>
      <c r="EG50" s="413">
        <v>859006</v>
      </c>
      <c r="EH50" s="414">
        <f t="shared" si="29"/>
        <v>907.45118514089575</v>
      </c>
      <c r="EI50" s="415">
        <f t="shared" si="30"/>
        <v>3.6752847768961852</v>
      </c>
      <c r="EJ50" s="402">
        <v>0</v>
      </c>
      <c r="EM50" s="278" t="s">
        <v>15</v>
      </c>
      <c r="EN50" s="278" t="s">
        <v>570</v>
      </c>
      <c r="EO50" s="278">
        <v>24085.599100000003</v>
      </c>
      <c r="EP50" s="278">
        <v>0.11186292027724311</v>
      </c>
      <c r="EQ50" s="289">
        <v>859006</v>
      </c>
      <c r="ER50" s="290">
        <f t="shared" si="31"/>
        <v>907.45118514089575</v>
      </c>
      <c r="ES50" s="291">
        <f t="shared" si="23"/>
        <v>3.6752847768961852</v>
      </c>
      <c r="ET50" s="402">
        <v>0</v>
      </c>
      <c r="EV50" s="34"/>
      <c r="EW50" s="34"/>
      <c r="EX50" s="34"/>
      <c r="EY50" s="34"/>
      <c r="EZ50" s="378"/>
      <c r="FA50" s="401"/>
      <c r="FB50" s="402"/>
      <c r="FC50" s="402"/>
    </row>
    <row r="51" spans="1:159" ht="27" customHeight="1">
      <c r="A51" s="205" t="s">
        <v>491</v>
      </c>
      <c r="B51" s="203" t="s">
        <v>484</v>
      </c>
      <c r="C51" s="400">
        <f>'A.일산테크노밸리(859991)_수정'!$P34*KTDB_TripDistribution_2035!L$12 * (1 + KTDB_발생량도착량_증가율!$D$7*5) * (1 + KTDB_발생량도착량_증가율!$E$7*5)</f>
        <v>86.461417106821457</v>
      </c>
      <c r="D51" s="400">
        <f>'A.일산테크노밸리(859991)_수정'!$P34*KTDB_TripDistribution_2035!M$12 * (1 + KTDB_발생량도착량_증가율!$D$7*5) * (1 + KTDB_발생량도착량_증가율!$E$7*5)</f>
        <v>672.33550940754037</v>
      </c>
      <c r="E51" s="400">
        <f>'A.일산테크노밸리(859991)_수정'!$P34*KTDB_TripDistribution_2035!N$12 * (1 + KTDB_발생량도착량_증가율!$D$7*5) * (1 + KTDB_발생량도착량_증가율!$E$7*5)</f>
        <v>29.801508856339435</v>
      </c>
      <c r="F51" s="400">
        <f>'A.일산테크노밸리(859991)_수정'!$P34*KTDB_TripDistribution_2035!O$12 * (1 + KTDB_발생량도착량_증가율!$D$7*5) * (1 + KTDB_발생량도착량_증가율!$E$7*5)</f>
        <v>8.0817651135835444E-2</v>
      </c>
      <c r="G51" s="400">
        <f>'A.일산테크노밸리(859991)_수정'!$P34*KTDB_TripDistribution_2035!P$12 * (1 + KTDB_발생량도착량_증가율!$D$7*5) * (1 + KTDB_발생량도착량_증가율!$E$7*5)</f>
        <v>0.2289833448848678</v>
      </c>
      <c r="H51" s="400">
        <f>'A.일산테크노밸리(859991)_수정'!$P34*KTDB_TripDistribution_2035!Q$12 * (1 + KTDB_발생량도착량_증가율!$D$7*5) * (1 + KTDB_발생량도착량_증가율!$E$7*5)</f>
        <v>788.90823636672212</v>
      </c>
      <c r="J51" s="230">
        <f t="shared" si="6"/>
        <v>788.90823636672201</v>
      </c>
      <c r="K51" s="206" t="s">
        <v>433</v>
      </c>
      <c r="L51" s="210" t="s">
        <v>485</v>
      </c>
      <c r="M51" s="213">
        <f>INDEX($A$44:$H$56,MATCH($L51,$B$44:$B$56,0),MATCH($M$43,$A$44:$H$44,0))*고양시_Modal_split!C$3 * 0.01</f>
        <v>0.24209196789910006</v>
      </c>
      <c r="N51" s="207">
        <f>INDEX($A$44:$H$56,MATCH($L51,$B$44:$B$56,0),MATCH($M$43,$A$44:$H$44,0))*고양시_Modal_split!D$3 * 0.01</f>
        <v>40.662804465338134</v>
      </c>
      <c r="O51" s="207">
        <f>INDEX($A$44:$H$56,MATCH($L51,$B$44:$B$56,0),MATCH($M$43,$A$44:$H$44,0))*고양시_Modal_split!E$3 * 0.01</f>
        <v>4.9196546333781406</v>
      </c>
      <c r="P51" s="207">
        <f>INDEX($A$44:$H$56,MATCH($L51,$B$44:$B$56,0),MATCH($M$43,$A$44:$H$44,0))*고양시_Modal_split!F$3 * 0.01</f>
        <v>7.9285119486955278</v>
      </c>
      <c r="Q51" s="207">
        <f>INDEX($A$44:$H$56,MATCH($L51,$B$44:$B$56,0),MATCH($M$43,$A$44:$H$44,0))*고양시_Modal_split!G$3 * 0.01</f>
        <v>0.7954450373827574</v>
      </c>
      <c r="R51" s="207">
        <f>INDEX($A$44:$H$56,MATCH($L51,$B$44:$B$56,0),MATCH($M$43,$A$44:$H$44,0))*고양시_Modal_split!H$3 * 0.01</f>
        <v>8.6461417106821464E-3</v>
      </c>
      <c r="S51" s="207">
        <f>INDEX($A$44:$H$56,MATCH($L51,$B$44:$B$56,0),MATCH($M$43,$A$44:$H$44,0))*고양시_Modal_split!I$3 * 0.01</f>
        <v>2.4036273955696363</v>
      </c>
      <c r="T51" s="207">
        <f>INDEX($A$44:$H$56,MATCH($L51,$B$44:$B$56,0),MATCH($M$43,$A$44:$H$44,0))*고양시_Modal_split!J$3 * 0.01</f>
        <v>26.318855367316452</v>
      </c>
      <c r="U51" s="207">
        <f>INDEX($A$44:$H$56,MATCH($L51,$B$44:$B$56,0),MATCH($M$43,$A$44:$H$44,0))*고양시_Modal_split!K$3 * 0.01</f>
        <v>0.12969212566023219</v>
      </c>
      <c r="V51" s="207">
        <f>INDEX($A$44:$H$56,MATCH($L51,$B$44:$B$56,0),MATCH($M$43,$A$44:$H$44,0))*고양시_Modal_split!L$3 * 0.01</f>
        <v>2.6111347966260081</v>
      </c>
      <c r="W51" s="207">
        <f>INDEX($A$44:$H$56,MATCH($L51,$B$44:$B$56,0),MATCH($M$43,$A$44:$H$44,0))*고양시_Modal_split!M$3 * 0.01</f>
        <v>0.19886125934568935</v>
      </c>
      <c r="X51" s="207">
        <f>INDEX($A$44:$H$56,MATCH($L51,$B$44:$B$56,0),MATCH($M$43,$A$44:$H$44,0))*고양시_Modal_split!N$3 * 0.01</f>
        <v>8.6461417106821467E-2</v>
      </c>
      <c r="Y51" s="207">
        <f>INDEX($A$44:$H$56,MATCH($L51,$B$44:$B$56,0),MATCH($M$43,$A$44:$H$44,0))*고양시_Modal_split!O$3 * 0.01</f>
        <v>0.15563055079227861</v>
      </c>
      <c r="Z51" s="214">
        <f>INDEX($A$44:$H$56,MATCH($L51,$B$44:$B$56,0),MATCH($M$43,$A$44:$H$44,0))*고양시_Modal_split!P$3 * 0.01</f>
        <v>86.461417106821472</v>
      </c>
      <c r="AA51" s="213">
        <f>INDEX($A$44:$H$56,MATCH($L51,$B$44:$B$56,0),MATCH($AA$43,$A$44:$H$44,0))*고양시_Modal_split!C$4 * 0.01</f>
        <v>204.65892906365531</v>
      </c>
      <c r="AB51" s="207">
        <f>INDEX($A$44:$H$56,MATCH($L51,$B$44:$B$56,0),MATCH($AA$43,$A$44:$H$44,0))*고양시_Modal_split!D$4 * 0.01</f>
        <v>215.61799786699819</v>
      </c>
      <c r="AC51" s="207">
        <f>INDEX($A$44:$H$56,MATCH($L51,$B$44:$B$56,0),MATCH($AA$43,$A$44:$H$44,0))*고양시_Modal_split!E$4 * 0.01</f>
        <v>52.240469080965887</v>
      </c>
      <c r="AD51" s="207">
        <f>INDEX($A$44:$H$56,MATCH($L51,$B$44:$B$56,0),MATCH($AA$43,$A$44:$H$44,0))*고양시_Modal_split!F$4 * 0.01</f>
        <v>6.387187339371633</v>
      </c>
      <c r="AE51" s="207">
        <f>INDEX($A$44:$H$56,MATCH($L51,$B$44:$B$56,0),MATCH($AA$43,$A$44:$H$44,0))*고양시_Modal_split!G$4 * 0.01</f>
        <v>78.730488151622964</v>
      </c>
      <c r="AF51" s="207">
        <f>INDEX($A$44:$H$56,MATCH($L51,$B$44:$B$56,0),MATCH($AA$43,$A$44:$H$44,0))*고양시_Modal_split!H$4 * 0.01</f>
        <v>0</v>
      </c>
      <c r="AG51" s="207">
        <f>INDEX($A$44:$H$56,MATCH($L51,$B$44:$B$56,0),MATCH($AA$43,$A$44:$H$44,0))*고양시_Modal_split!I$4 * 0.01</f>
        <v>23.397275727382404</v>
      </c>
      <c r="AH51" s="207">
        <f>INDEX($A$44:$H$56,MATCH($L51,$B$44:$B$56,0),MATCH($AA$43,$A$44:$H$44,0))*고양시_Modal_split!J$4 * 0.01</f>
        <v>31.667002493095151</v>
      </c>
      <c r="AI51" s="207">
        <f>INDEX($A$44:$H$56,MATCH($L51,$B$44:$B$56,0),MATCH($AA$43,$A$44:$H$44,0))*고양시_Modal_split!K$4 * 0.01</f>
        <v>0</v>
      </c>
      <c r="AJ51" s="207">
        <f>INDEX($A$44:$H$56,MATCH($L51,$B$44:$B$56,0),MATCH($AA$43,$A$44:$H$44,0))*고양시_Modal_split!L$4 * 0.01</f>
        <v>31.061900534628368</v>
      </c>
      <c r="AK51" s="207">
        <f>INDEX($A$44:$H$56,MATCH($L51,$B$44:$B$56,0),MATCH($AA$43,$A$44:$H$44,0))*고양시_Modal_split!M$4 * 0.01</f>
        <v>4.5046479130305208</v>
      </c>
      <c r="AL51" s="207">
        <f>INDEX($A$44:$H$56,MATCH($L51,$B$44:$B$56,0),MATCH($AA$43,$A$44:$H$44,0))*고양시_Modal_split!N$4 * 0.01</f>
        <v>16.808387735188511</v>
      </c>
      <c r="AM51" s="207">
        <f>INDEX($A$44:$H$56,MATCH($L51,$B$44:$B$56,0),MATCH($AA$43,$A$44:$H$44,0))*고양시_Modal_split!O$4 * 0.01</f>
        <v>7.261223501601437</v>
      </c>
      <c r="AN51" s="214">
        <f>INDEX($A$44:$H$56,MATCH($L51,$B$44:$B$56,0),MATCH($AA$43,$A$44:$H$44,0))*고양시_Modal_split!P$4 * 0.01</f>
        <v>672.33550940754037</v>
      </c>
      <c r="AO51" s="213">
        <f>INDEX($A$44:$H$56,MATCH($L51,$B$44:$B$56,0),MATCH($AO$43,$A$44:$H$44,0))*고양시_Modal_split!C$5 * 0.01</f>
        <v>1.7880905313803663E-2</v>
      </c>
      <c r="AP51" s="207">
        <f>INDEX($A$44:$H$56,MATCH($L51,$B$44:$B$56,0),MATCH($AO$43,$A$44:$H$44,0))*고양시_Modal_split!D$5 * 0.01</f>
        <v>21.838545689925542</v>
      </c>
      <c r="AQ51" s="207">
        <f>INDEX($A$44:$H$56,MATCH($L51,$B$44:$B$56,0),MATCH($AO$43,$A$44:$H$44,0))*고양시_Modal_split!E$5 * 0.01</f>
        <v>2.9354486223494343</v>
      </c>
      <c r="AR51" s="207">
        <f>INDEX($A$44:$H$56,MATCH($L51,$B$44:$B$56,0),MATCH($AO$43,$A$44:$H$44,0))*고양시_Modal_split!F$5 * 0.01</f>
        <v>0.62583168598312822</v>
      </c>
      <c r="AS51" s="207">
        <f>INDEX($A$44:$H$56,MATCH($L51,$B$44:$B$56,0),MATCH($AO$43,$A$44:$H$44,0))*고양시_Modal_split!G$5 * 0.01</f>
        <v>0.19370980756620632</v>
      </c>
      <c r="AT51" s="207">
        <f>INDEX($A$44:$H$56,MATCH($L51,$B$44:$B$56,0),MATCH($AO$43,$A$44:$H$44,0))*고양시_Modal_split!H$5 * 0.01</f>
        <v>2.0861056199437601E-2</v>
      </c>
      <c r="AU51" s="207">
        <f>INDEX($A$44:$H$56,MATCH($L51,$B$44:$B$56,0),MATCH($AO$43,$A$44:$H$44,0))*고양시_Modal_split!I$5 * 0.01</f>
        <v>0.82550179532060242</v>
      </c>
      <c r="AV51" s="207">
        <f>INDEX($A$44:$H$56,MATCH($L51,$B$44:$B$56,0),MATCH($AO$43,$A$44:$H$44,0))*고양시_Modal_split!J$5 * 0.01</f>
        <v>1.8685546052924826</v>
      </c>
      <c r="AW51" s="207">
        <f>INDEX($A$44:$H$56,MATCH($L51,$B$44:$B$56,0),MATCH($AO$43,$A$44:$H$44,0))*고양시_Modal_split!K$5 * 0.01</f>
        <v>5.9603017712678875E-3</v>
      </c>
      <c r="AX51" s="207">
        <f>INDEX($A$44:$H$56,MATCH($L51,$B$44:$B$56,0),MATCH($AO$43,$A$44:$H$44,0))*고양시_Modal_split!L$5 * 0.01</f>
        <v>0.75993847583665552</v>
      </c>
      <c r="AY51" s="207">
        <f>INDEX($A$44:$H$56,MATCH($L51,$B$44:$B$56,0),MATCH($AO$43,$A$44:$H$44,0))*고양시_Modal_split!M$5 * 0.01</f>
        <v>0.19967010933747426</v>
      </c>
      <c r="AZ51" s="207">
        <f>INDEX($A$44:$H$56,MATCH($L51,$B$44:$B$56,0),MATCH($AO$43,$A$44:$H$44,0))*고양시_Modal_split!N$5 * 0.01</f>
        <v>5.0662565055777035E-2</v>
      </c>
      <c r="BA51" s="207">
        <f>INDEX($A$44:$H$56,MATCH($L51,$B$44:$B$56,0),MATCH($AO$43,$A$44:$H$44,0))*고양시_Modal_split!O$5 * 0.01</f>
        <v>0.4589432363876273</v>
      </c>
      <c r="BB51" s="214">
        <f>INDEX($A$44:$H$56,MATCH($L51,$B$44:$B$56,0),MATCH($AO$43,$A$44:$H$44,0))*고양시_Modal_split!P$5 * 0.01</f>
        <v>29.801508856339435</v>
      </c>
      <c r="BC51" s="213">
        <f>INDEX($A$44:$H$56,MATCH($L51,$B$44:$B$56,0),MATCH($BC$43,$A$44:$H$44,0))*고양시_Modal_split!C$6 * 0.01</f>
        <v>0</v>
      </c>
      <c r="BD51" s="207">
        <f>INDEX($A$44:$H$56,MATCH($L51,$B$44:$B$56,0),MATCH($BC$43,$A$44:$H$44,0))*고양시_Modal_split!D$6 * 0.01</f>
        <v>6.6925096905585332E-2</v>
      </c>
      <c r="BE51" s="207">
        <f>INDEX($A$44:$H$56,MATCH($L51,$B$44:$B$56,0),MATCH($BC$43,$A$44:$H$44,0))*고양시_Modal_split!E$6 * 0.01</f>
        <v>3.4751589988409244E-4</v>
      </c>
      <c r="BF51" s="207">
        <f>INDEX($A$44:$H$56,MATCH($L51,$B$44:$B$56,0),MATCH($BC$43,$A$44:$H$44,0))*고양시_Modal_split!F$6 * 0.01</f>
        <v>9.8597534385719233E-4</v>
      </c>
      <c r="BG51" s="207">
        <f>INDEX($A$44:$H$56,MATCH($L51,$B$44:$B$56,0),MATCH($BC$43,$A$44:$H$44,0))*고양시_Modal_split!G$6 * 0.01</f>
        <v>0</v>
      </c>
      <c r="BH51" s="207">
        <f>INDEX($A$44:$H$56,MATCH($L51,$B$44:$B$56,0),MATCH($BC$43,$A$44:$H$44,0))*고양시_Modal_split!H$6 * 0.01</f>
        <v>4.2914172753128624E-3</v>
      </c>
      <c r="BI51" s="207">
        <f>INDEX($A$44:$H$56,MATCH($L51,$B$44:$B$56,0),MATCH($BC$43,$A$44:$H$44,0))*고양시_Modal_split!I$6 * 0.01</f>
        <v>2.8609448502085748E-3</v>
      </c>
      <c r="BJ51" s="207">
        <f>INDEX($A$44:$H$56,MATCH($L51,$B$44:$B$56,0),MATCH($BC$43,$A$44:$H$44,0))*고양시_Modal_split!J$6 * 0.01</f>
        <v>3.9923919661102713E-3</v>
      </c>
      <c r="BK51" s="207">
        <f>INDEX($A$44:$H$56,MATCH($L51,$B$44:$B$56,0),MATCH($BC$43,$A$44:$H$44,0))*고양시_Modal_split!K$6 * 0.01</f>
        <v>0</v>
      </c>
      <c r="BL51" s="207">
        <f>INDEX($A$44:$H$56,MATCH($L51,$B$44:$B$56,0),MATCH($BC$43,$A$44:$H$44,0))*고양시_Modal_split!L$6 * 0.01</f>
        <v>6.1421414863234935E-4</v>
      </c>
      <c r="BM51" s="207">
        <f>INDEX($A$44:$H$56,MATCH($L51,$B$44:$B$56,0),MATCH($BC$43,$A$44:$H$44,0))*고양시_Modal_split!M$6 * 0.01</f>
        <v>7.3544062533610264E-4</v>
      </c>
      <c r="BN51" s="207">
        <f>INDEX($A$44:$H$56,MATCH($L51,$B$44:$B$56,0),MATCH($BC$43,$A$44:$H$44,0))*고양시_Modal_split!N$6 * 0.01</f>
        <v>0</v>
      </c>
      <c r="BO51" s="207">
        <f>INDEX($A$44:$H$56,MATCH($L51,$B$44:$B$56,0),MATCH($BC$43,$A$44:$H$44,0))*고양시_Modal_split!O$6 * 0.01</f>
        <v>6.4654120908668366E-5</v>
      </c>
      <c r="BP51" s="214">
        <f>INDEX($A$44:$H$56,MATCH($L51,$B$44:$B$56,0),MATCH($BC$43,$A$44:$H$44,0))*고양시_Modal_split!P$6 * 0.01</f>
        <v>8.0817651135835458E-2</v>
      </c>
      <c r="BQ51" s="213">
        <f>INDEX($A$44:$H$56,MATCH($L51,$B$44:$B$56,0),MATCH($BQ$43,$A$44:$H$44,0))*고양시_Modal_split!C$7 * 0.01</f>
        <v>0</v>
      </c>
      <c r="BR51" s="207">
        <f>INDEX($A$44:$H$56,MATCH($L51,$B$44:$B$56,0),MATCH($BQ$43,$A$44:$H$44,0))*고양시_Modal_split!D$7 * 0.01</f>
        <v>0.14032099374544699</v>
      </c>
      <c r="BS51" s="207">
        <f>INDEX($A$44:$H$56,MATCH($L51,$B$44:$B$56,0),MATCH($BQ$43,$A$44:$H$44,0))*고양시_Modal_split!E$7 * 0.01</f>
        <v>6.846602012057547E-3</v>
      </c>
      <c r="BT51" s="207">
        <f>INDEX($A$44:$H$56,MATCH($L51,$B$44:$B$56,0),MATCH($BQ$43,$A$44:$H$44,0))*고양시_Modal_split!F$7 * 0.01</f>
        <v>2.2898334488486781E-3</v>
      </c>
      <c r="BU51" s="207">
        <f>INDEX($A$44:$H$56,MATCH($L51,$B$44:$B$56,0),MATCH($BQ$43,$A$44:$H$44,0))*고양시_Modal_split!G$7 * 0.01</f>
        <v>9.6173004851644471E-4</v>
      </c>
      <c r="BV51" s="207">
        <f>INDEX($A$44:$H$56,MATCH($L51,$B$44:$B$56,0),MATCH($BQ$43,$A$44:$H$44,0))*고양시_Modal_split!H$7 * 0.01</f>
        <v>1.280016897906411E-2</v>
      </c>
      <c r="BW51" s="207">
        <f>INDEX($A$44:$H$56,MATCH($L51,$B$44:$B$56,0),MATCH($BQ$43,$A$44:$H$44,0))*고양시_Modal_split!I$7 * 0.01</f>
        <v>4.2751190490004823E-2</v>
      </c>
      <c r="BX51" s="207">
        <f>INDEX($A$44:$H$56,MATCH($L51,$B$44:$B$56,0),MATCH($BQ$43,$A$44:$H$44,0))*고양시_Modal_split!J$7 * 0.01</f>
        <v>4.5796668976973562E-5</v>
      </c>
      <c r="BY51" s="207">
        <f>INDEX($A$44:$H$56,MATCH($L51,$B$44:$B$56,0),MATCH($BQ$43,$A$44:$H$44,0))*고양시_Modal_split!K$7 * 0.01</f>
        <v>1.763171755613482E-2</v>
      </c>
      <c r="BZ51" s="207">
        <f>INDEX($A$44:$H$56,MATCH($L51,$B$44:$B$56,0),MATCH($BQ$43,$A$44:$H$44,0))*고양시_Modal_split!L$7 * 0.01</f>
        <v>1.6028834141940744E-4</v>
      </c>
      <c r="CA51" s="207">
        <f>INDEX($A$44:$H$56,MATCH($L51,$B$44:$B$56,0),MATCH($BQ$43,$A$44:$H$44,0))*고양시_Modal_split!M$7 * 0.01</f>
        <v>4.2819885493470275E-3</v>
      </c>
      <c r="CB51" s="207">
        <f>INDEX($A$44:$H$56,MATCH($L51,$B$44:$B$56,0),MATCH($BQ$43,$A$44:$H$44,0))*고양시_Modal_split!N$7 * 0.01</f>
        <v>8.9303504505098424E-4</v>
      </c>
      <c r="CC51" s="207">
        <f>INDEX($A$44:$H$56,MATCH($L51,$B$44:$B$56,0),MATCH($BQ$43,$A$44:$H$44,0))*고양시_Modal_split!O$7 * 0.01</f>
        <v>0</v>
      </c>
      <c r="CD51" s="214">
        <f>INDEX($A$44:$H$56,MATCH($L51,$B$44:$B$56,0),MATCH($BQ$43,$A$44:$H$44,0))*고양시_Modal_split!P$7 * 0.01</f>
        <v>0.2289833448848678</v>
      </c>
      <c r="CE51" s="218">
        <f t="shared" si="24"/>
        <v>204.91890193686822</v>
      </c>
      <c r="CF51" s="208">
        <f t="shared" si="7"/>
        <v>278.32659411291291</v>
      </c>
      <c r="CG51" s="208">
        <f t="shared" si="8"/>
        <v>60.102766454605401</v>
      </c>
      <c r="CH51" s="208">
        <f t="shared" si="9"/>
        <v>14.944806782842996</v>
      </c>
      <c r="CI51" s="208">
        <f t="shared" si="10"/>
        <v>79.720604726620451</v>
      </c>
      <c r="CJ51" s="208">
        <f t="shared" si="11"/>
        <v>4.6598784164496719E-2</v>
      </c>
      <c r="CK51" s="208">
        <f t="shared" si="12"/>
        <v>26.672017053612855</v>
      </c>
      <c r="CL51" s="208">
        <f t="shared" si="13"/>
        <v>59.858450654339165</v>
      </c>
      <c r="CM51" s="208">
        <f t="shared" si="14"/>
        <v>0.1532841449876349</v>
      </c>
      <c r="CN51" s="208">
        <f t="shared" si="15"/>
        <v>34.433748309581084</v>
      </c>
      <c r="CO51" s="208">
        <f t="shared" si="16"/>
        <v>4.908196710888368</v>
      </c>
      <c r="CP51" s="208">
        <f t="shared" si="17"/>
        <v>16.946404752396163</v>
      </c>
      <c r="CQ51" s="208">
        <f t="shared" si="18"/>
        <v>7.8758619429022518</v>
      </c>
      <c r="CR51" s="219">
        <f t="shared" si="19"/>
        <v>788.90823636672201</v>
      </c>
      <c r="CS51" s="225">
        <f t="shared" si="25"/>
        <v>0</v>
      </c>
      <c r="CV51" s="265" t="s">
        <v>433</v>
      </c>
      <c r="CW51" s="271" t="s">
        <v>484</v>
      </c>
      <c r="CX51" s="267">
        <f>INDEX($M$43:$Z$56,MATCH($CW51,$L$43:$L$56,0),MATCH(CX$44,$M$44:$Z$44,0))/INDEX(고양시_재차인원!$D$4:$H$35,MATCH("고양시",고양시_재차인원!$B$4:$B$35,0),MATCH('A.일산테크노밸리(859991)_수정'!$CX$43,고양시_재차인원!$D$4:$H$4,0))</f>
        <v>36.306075415480471</v>
      </c>
      <c r="CY51" s="267">
        <f>INDEX($M$43:$Z$56,MATCH($CW51,$L$43:$L$56,0),MATCH(CY$44,$M$44:$Z$44,0))/INDEX(고양시_재차인원!$K$4:$O$20,MATCH("경기도",고양시_재차인원!$K$4:$K$20,0),MATCH('A.일산테크노밸리(859991)_수정'!CY$44,고양시_재차인원!$K$4:$O$4,0))</f>
        <v>3.0031753076353412E-4</v>
      </c>
      <c r="CZ51" s="267">
        <f>INDEX($M$43:$Z$56,MATCH($CW51,$L$43:$L$56,0),MATCH(CZ$44,$M$44:$Z$44,0))/INDEX(고양시_재차인원!$K$4:$O$20,MATCH("경기도",고양시_재차인원!$K$4:$K$20,0),MATCH('A.일산테크노밸리(859991)_수정'!CZ$44,고양시_재차인원!$K$4:$O$4,0))</f>
        <v>8.348827355226246E-2</v>
      </c>
      <c r="DA51" s="267">
        <f>INDEX($M$43:$Z$56,MATCH($CW51,$L$43:$L$56,0),MATCH(DA$44,$M$44:$Z$44,0))/INDEX(고양시_재차인원!$K$4:$O$20,MATCH("경기도",고양시_재차인원!$K$4:$K$20,0),MATCH('A.일산테크노밸리(859991)_수정'!DA$44,고양시_재차인원!$K$4:$O$4,0))</f>
        <v>1.7407565310840054</v>
      </c>
      <c r="DB51" s="268">
        <f>INDEX($AA$43:$AN$56,MATCH($CW51,$L$43:$L$56,0),MATCH(DB$44,$AA$44:$AN$44,0))/INDEX(고양시_재차인원!$D$4:$H$35,MATCH("고양시",고양시_재차인원!$B$4:$B$35,0),MATCH('A.일산테크노밸리(859991)_수정'!$DB$43,고양시_재차인원!$D$4:$H$4,0))</f>
        <v>152.92056586311929</v>
      </c>
      <c r="DC51" s="267">
        <f>INDEX($AA$43:$AN$56,MATCH($CW51,$L$43:$L$56,0),MATCH(DC$44,$AA$44:$AN$44,0))/INDEX(고양시_재차인원!$K$4:$O$20,MATCH("경기도",고양시_재차인원!$K$4:$K$20,0),MATCH('A.일산테크노밸리(859991)_수정'!DC$44,고양시_재차인원!$K$4:$O$4,0))</f>
        <v>0</v>
      </c>
      <c r="DD51" s="267">
        <f>INDEX($AA$43:$AN$56,MATCH($CW51,$L$43:$L$56,0),MATCH(DD$44,$AA$44:$AN$44,0))/INDEX(고양시_재차인원!$K$4:$O$20,MATCH("경기도",고양시_재차인원!$K$4:$K$20,0),MATCH('A.일산테크노밸리(859991)_수정'!DD$44,고양시_재차인원!$K$4:$O$4,0))</f>
        <v>0.81268759039188621</v>
      </c>
      <c r="DE51" s="267">
        <f>INDEX($AA$43:$AN$56,MATCH($CW51,$L$43:$L$56,0),MATCH(DE$44,$AA$44:$AN$44,0))/INDEX(고양시_재차인원!$K$4:$O$20,MATCH("경기도",고양시_재차인원!$K$4:$K$20,0),MATCH('A.일산테크노밸리(859991)_수정'!DE$44,고양시_재차인원!$K$4:$O$4,0))</f>
        <v>20.707933689752245</v>
      </c>
      <c r="DF51" s="268">
        <f>INDEX($AO$43:$BB$56,MATCH($CW51,$L$43:$L$56,0),MATCH(DF$44,$AO$44:$BB$44,0))/INDEX(고양시_재차인원!$D$4:$H$35,MATCH("고양시",고양시_재차인원!$B$4:$B$35,0),MATCH('A.일산테크노밸리(859991)_수정'!$DF$43,고양시_재차인원!$D$4:$H$4,0))</f>
        <v>16.798881299942725</v>
      </c>
      <c r="DG51" s="267">
        <f>INDEX($AO$43:$BB$56,MATCH($CW51,$L$43:$L$56,0),MATCH(DG$44,$AO$44:$BB$44,0))/INDEX(고양시_재차인원!$K$4:$O$20,MATCH("경기도",고양시_재차인원!$K$4:$K$20,0),MATCH('A.일산테크노밸리(859991)_수정'!DG$44,고양시_재차인원!$K$4:$O$4,0))</f>
        <v>7.2459382422499483E-4</v>
      </c>
      <c r="DH51" s="267">
        <f>INDEX($AO$43:$BB$56,MATCH($CW51,$L$43:$L$56,0),MATCH(DH$44,$AO$44:$BB$44,0))/INDEX(고양시_재차인원!$K$4:$O$20,MATCH("경기도",고양시_재차인원!$K$4:$K$20,0),MATCH('A.일산테크노밸리(859991)_수정'!DH$44,고양시_재차인원!$K$4:$O$4,0))</f>
        <v>2.8673212758617662E-2</v>
      </c>
      <c r="DI51" s="267">
        <f>INDEX($AO$43:$BB$56,MATCH($CW51,$L$43:$L$56,0),MATCH(DI$44,$AO$44:$BB$44,0))/INDEX(고양시_재차인원!$K$4:$O$20,MATCH("경기도",고양시_재차인원!$K$4:$K$20,0),MATCH('A.일산테크노밸리(859991)_수정'!DI$44,고양시_재차인원!$K$4:$O$4,0))</f>
        <v>0.50662565055777031</v>
      </c>
      <c r="DJ51" s="268">
        <f>INDEX($BC$43:$BP$56,MATCH($CW51,$L$43:$L$56,0),MATCH(DJ$44,$BC$44:$BP$44,0))/INDEX(고양시_재차인원!$D$4:$H$35,MATCH("고양시",고양시_재차인원!$B$4:$B$35,0),MATCH('A.일산테크노밸리(859991)_수정'!$DJ$43,고양시_재차인원!$D$4:$H$4,0))</f>
        <v>4.920963007763627E-2</v>
      </c>
      <c r="DK51" s="267">
        <f>INDEX($BC$43:$BP$56,MATCH($CW51,$L$43:$L$56,0),MATCH(DK$44,$BC$44:$BP$44,0))/INDEX(고양시_재차인원!$K$4:$O$20,MATCH("경기도",고양시_재차인원!$K$4:$K$20,0),MATCH('A.일산테크노밸리(859991)_수정'!DK$44,고양시_재차인원!$K$4:$O$4,0))</f>
        <v>1.4905930098342698E-4</v>
      </c>
      <c r="DL51" s="267">
        <f>INDEX($BC$43:$BP$56,MATCH($CW51,$L$43:$L$56,0),MATCH(DL$44,$BC$44:$BP$44,0))/INDEX(고양시_재차인원!$K$4:$O$20,MATCH("경기도",고양시_재차인원!$K$4:$K$20,0),MATCH('A.일산테크노밸리(859991)_수정'!DL$44,고양시_재차인원!$K$4:$O$4,0))</f>
        <v>9.937286732228464E-5</v>
      </c>
      <c r="DM51" s="267">
        <f>INDEX($BC$43:$BP$56,MATCH($CW51,$L$43:$L$56,0),MATCH(DM$44,$BC$44:$BP$44,0))/INDEX(고양시_재차인원!$K$4:$O$20,MATCH("경기도",고양시_재차인원!$K$4:$K$20,0),MATCH('A.일산테크노밸리(859991)_수정'!DM$44,고양시_재차인원!$K$4:$O$4,0))</f>
        <v>4.0947609908823288E-4</v>
      </c>
      <c r="DN51" s="268">
        <f>INDEX($BQ$43:$CD$56,MATCH($CW51,$L$43:$L$56,0),MATCH(DN$44,$BQ$44:$CD$44,0))/INDEX(고양시_재차인원!$D$4:$H$35,MATCH("고양시",고양시_재차인원!$B$4:$B$35,0),MATCH('A.일산테크노밸리(859991)_수정'!$DN$43,고양시_재차인원!$D$4:$H$4,0))</f>
        <v>0.11136586805194205</v>
      </c>
      <c r="DO51" s="267">
        <f>INDEX($BQ$43:$CD$56,MATCH($CW51,$L$43:$L$56,0),MATCH(DO$44,$BQ$44:$CD$44,0))/INDEX(고양시_재차인원!$K$4:$O$20,MATCH("경기도",고양시_재차인원!$K$4:$K$20,0),MATCH('A.일산테크노밸리(859991)_수정'!DO$44,고양시_재차인원!$K$4:$O$4,0))</f>
        <v>4.4460468840097639E-4</v>
      </c>
      <c r="DP51" s="267">
        <f>INDEX($BQ$43:$CD$56,MATCH($CW51,$L$43:$L$56,0),MATCH(DP$44,$BQ$44:$CD$44,0))/INDEX(고양시_재차인원!$K$4:$O$20,MATCH("경기도",고양시_재차인원!$K$4:$K$20,0),MATCH('A.일산테크노밸리(859991)_수정'!DP$44,고양시_재차인원!$K$4:$O$4,0))</f>
        <v>1.4849319378258015E-3</v>
      </c>
      <c r="DQ51" s="267">
        <f>INDEX($BQ$43:$CD$56,MATCH($CW51,$L$43:$L$56,0),MATCH(DQ$44,$BQ$44:$CD$44,0))/INDEX(고양시_재차인원!$K$4:$O$20,MATCH("경기도",고양시_재차인원!$K$4:$K$20,0),MATCH('A.일산테크노밸리(859991)_수정'!DQ$44,고양시_재차인원!$K$4:$O$4,0))</f>
        <v>1.0685889427960496E-4</v>
      </c>
      <c r="DR51" s="269">
        <f t="shared" si="26"/>
        <v>206.18609807667207</v>
      </c>
      <c r="DS51" s="270">
        <f t="shared" si="20"/>
        <v>1.6185753443729322E-3</v>
      </c>
      <c r="DT51" s="270">
        <f t="shared" si="21"/>
        <v>0.92643338150791443</v>
      </c>
      <c r="DU51" s="270">
        <f t="shared" si="22"/>
        <v>22.955832206387388</v>
      </c>
      <c r="DW51" s="278"/>
      <c r="DX51" s="278" t="s">
        <v>596</v>
      </c>
      <c r="DY51" s="281">
        <f>SUM(DR51:DR53)+SUM(DU51:DU53)</f>
        <v>991.98880873796861</v>
      </c>
      <c r="DZ51" s="281">
        <f>SUM(DS51:DS53)+SUM(DT51:DT53)</f>
        <v>4.0176721649660578</v>
      </c>
      <c r="EC51" s="412" t="s">
        <v>15</v>
      </c>
      <c r="ED51" s="412" t="s">
        <v>571</v>
      </c>
      <c r="EE51" s="412">
        <v>10713.892900000001</v>
      </c>
      <c r="EF51" s="412">
        <v>4.9759499124587728E-2</v>
      </c>
      <c r="EG51" s="413">
        <v>859007</v>
      </c>
      <c r="EH51" s="414">
        <f t="shared" si="29"/>
        <v>403.65758680993861</v>
      </c>
      <c r="EI51" s="415">
        <f t="shared" si="30"/>
        <v>1.6348610351430339</v>
      </c>
      <c r="EJ51" s="402">
        <v>0</v>
      </c>
      <c r="EM51" s="278" t="s">
        <v>15</v>
      </c>
      <c r="EN51" s="278" t="s">
        <v>571</v>
      </c>
      <c r="EO51" s="278">
        <v>10713.892900000001</v>
      </c>
      <c r="EP51" s="278">
        <v>4.9759499124587728E-2</v>
      </c>
      <c r="EQ51" s="289">
        <v>859007</v>
      </c>
      <c r="ER51" s="290">
        <f t="shared" si="31"/>
        <v>403.65758680993861</v>
      </c>
      <c r="ES51" s="291">
        <f t="shared" si="23"/>
        <v>1.6348610351430339</v>
      </c>
      <c r="ET51" s="402">
        <v>0</v>
      </c>
      <c r="EV51" s="34"/>
      <c r="EW51" s="34"/>
      <c r="EX51" s="34"/>
      <c r="EY51" s="34"/>
      <c r="EZ51" s="378"/>
      <c r="FA51" s="401"/>
      <c r="FB51" s="402"/>
      <c r="FC51" s="402"/>
    </row>
    <row r="52" spans="1:159" ht="27" customHeight="1">
      <c r="A52" s="205" t="s">
        <v>491</v>
      </c>
      <c r="B52" s="203" t="s">
        <v>486</v>
      </c>
      <c r="C52" s="400">
        <f>'A.일산테크노밸리(859991)_수정'!$P35*KTDB_TripDistribution_2035!L$12 * (1 + KTDB_발생량도착량_증가율!$D$7*5) * (1 + KTDB_발생량도착량_증가율!$E$7*5)</f>
        <v>66.47536089117429</v>
      </c>
      <c r="D52" s="400">
        <f>'A.일산테크노밸리(859991)_수정'!$P35*KTDB_TripDistribution_2035!M$12 * (1 + KTDB_발생량도착량_증가율!$D$7*5) * (1 + KTDB_발생량도착량_증가율!$E$7*5)</f>
        <v>516.9212710520286</v>
      </c>
      <c r="E52" s="400">
        <f>'A.일산테크노밸리(859991)_수정'!$P35*KTDB_TripDistribution_2035!N$12 * (1 + KTDB_발생량도착량_증가율!$D$7*5) * (1 + KTDB_발생량도착량_증가율!$E$7*5)</f>
        <v>22.912717864421779</v>
      </c>
      <c r="F52" s="400">
        <f>'A.일산테크노밸리(859991)_수정'!$P35*KTDB_TripDistribution_2035!O$12 * (1 + KTDB_발생량도착량_증가율!$D$7*5) * (1 + KTDB_발생량도착량_증가율!$E$7*5)</f>
        <v>6.2136184039109664E-2</v>
      </c>
      <c r="G52" s="400">
        <f>'A.일산테크노밸리(859991)_수정'!$P35*KTDB_TripDistribution_2035!P$12 * (1 + KTDB_발생량도착량_증가율!$D$7*5) * (1 + KTDB_발생량도착량_증가율!$E$7*5)</f>
        <v>0.17605252144414457</v>
      </c>
      <c r="H52" s="400">
        <f>'A.일산테크노밸리(859991)_수정'!$P35*KTDB_TripDistribution_2035!Q$12 * (1 + KTDB_발생량도착량_증가율!$D$7*5) * (1 + KTDB_발생량도착량_증가율!$E$7*5)</f>
        <v>606.54753851310795</v>
      </c>
      <c r="J52" s="230">
        <f t="shared" si="6"/>
        <v>606.54753851310795</v>
      </c>
      <c r="K52" s="206"/>
      <c r="L52" s="210" t="s">
        <v>486</v>
      </c>
      <c r="M52" s="213">
        <f>INDEX($A$44:$H$56,MATCH($L52,$B$44:$B$56,0),MATCH($M$43,$A$44:$H$44,0))*고양시_Modal_split!C$3 * 0.01</f>
        <v>0.18613101049528802</v>
      </c>
      <c r="N52" s="207">
        <f>INDEX($A$44:$H$56,MATCH($L52,$B$44:$B$56,0),MATCH($M$43,$A$44:$H$44,0))*고양시_Modal_split!D$3 * 0.01</f>
        <v>31.26336222711927</v>
      </c>
      <c r="O52" s="207">
        <f>INDEX($A$44:$H$56,MATCH($L52,$B$44:$B$56,0),MATCH($M$43,$A$44:$H$44,0))*고양시_Modal_split!E$3 * 0.01</f>
        <v>3.7824480347078167</v>
      </c>
      <c r="P52" s="207">
        <f>INDEX($A$44:$H$56,MATCH($L52,$B$44:$B$56,0),MATCH($M$43,$A$44:$H$44,0))*고양시_Modal_split!F$3 * 0.01</f>
        <v>6.0957905937206833</v>
      </c>
      <c r="Q52" s="207">
        <f>INDEX($A$44:$H$56,MATCH($L52,$B$44:$B$56,0),MATCH($M$43,$A$44:$H$44,0))*고양시_Modal_split!G$3 * 0.01</f>
        <v>0.61157332019880339</v>
      </c>
      <c r="R52" s="207">
        <f>INDEX($A$44:$H$56,MATCH($L52,$B$44:$B$56,0),MATCH($M$43,$A$44:$H$44,0))*고양시_Modal_split!H$3 * 0.01</f>
        <v>6.6475360891174295E-3</v>
      </c>
      <c r="S52" s="207">
        <f>INDEX($A$44:$H$56,MATCH($L52,$B$44:$B$56,0),MATCH($M$43,$A$44:$H$44,0))*고양시_Modal_split!I$3 * 0.01</f>
        <v>1.8480150327746452</v>
      </c>
      <c r="T52" s="207">
        <f>INDEX($A$44:$H$56,MATCH($L52,$B$44:$B$56,0),MATCH($M$43,$A$44:$H$44,0))*고양시_Modal_split!J$3 * 0.01</f>
        <v>20.235099855273454</v>
      </c>
      <c r="U52" s="207">
        <f>INDEX($A$44:$H$56,MATCH($L52,$B$44:$B$56,0),MATCH($M$43,$A$44:$H$44,0))*고양시_Modal_split!K$3 * 0.01</f>
        <v>9.971304133676144E-2</v>
      </c>
      <c r="V52" s="207">
        <f>INDEX($A$44:$H$56,MATCH($L52,$B$44:$B$56,0),MATCH($M$43,$A$44:$H$44,0))*고양시_Modal_split!L$3 * 0.01</f>
        <v>2.0075558989134636</v>
      </c>
      <c r="W52" s="207">
        <f>INDEX($A$44:$H$56,MATCH($L52,$B$44:$B$56,0),MATCH($M$43,$A$44:$H$44,0))*고양시_Modal_split!M$3 * 0.01</f>
        <v>0.15289333004970085</v>
      </c>
      <c r="X52" s="207">
        <f>INDEX($A$44:$H$56,MATCH($L52,$B$44:$B$56,0),MATCH($M$43,$A$44:$H$44,0))*고양시_Modal_split!N$3 * 0.01</f>
        <v>6.6475360891174298E-2</v>
      </c>
      <c r="Y52" s="207">
        <f>INDEX($A$44:$H$56,MATCH($L52,$B$44:$B$56,0),MATCH($M$43,$A$44:$H$44,0))*고양시_Modal_split!O$3 * 0.01</f>
        <v>0.11965564960411372</v>
      </c>
      <c r="Z52" s="214">
        <f>INDEX($A$44:$H$56,MATCH($L52,$B$44:$B$56,0),MATCH($M$43,$A$44:$H$44,0))*고양시_Modal_split!P$3 * 0.01</f>
        <v>66.47536089117429</v>
      </c>
      <c r="AA52" s="213">
        <f>INDEX($A$44:$H$56,MATCH($L52,$B$44:$B$56,0),MATCH($AA$43,$A$44:$H$44,0))*고양시_Modal_split!C$4 * 0.01</f>
        <v>157.35083490823752</v>
      </c>
      <c r="AB52" s="207">
        <f>INDEX($A$44:$H$56,MATCH($L52,$B$44:$B$56,0),MATCH($AA$43,$A$44:$H$44,0))*고양시_Modal_split!D$4 * 0.01</f>
        <v>165.77665162638559</v>
      </c>
      <c r="AC52" s="207">
        <f>INDEX($A$44:$H$56,MATCH($L52,$B$44:$B$56,0),MATCH($AA$43,$A$44:$H$44,0))*고양시_Modal_split!E$4 * 0.01</f>
        <v>40.164782760742625</v>
      </c>
      <c r="AD52" s="207">
        <f>INDEX($A$44:$H$56,MATCH($L52,$B$44:$B$56,0),MATCH($AA$43,$A$44:$H$44,0))*고양시_Modal_split!F$4 * 0.01</f>
        <v>4.9107520749942717</v>
      </c>
      <c r="AE52" s="207">
        <f>INDEX($A$44:$H$56,MATCH($L52,$B$44:$B$56,0),MATCH($AA$43,$A$44:$H$44,0))*고양시_Modal_split!G$4 * 0.01</f>
        <v>60.531480840192543</v>
      </c>
      <c r="AF52" s="207">
        <f>INDEX($A$44:$H$56,MATCH($L52,$B$44:$B$56,0),MATCH($AA$43,$A$44:$H$44,0))*고양시_Modal_split!H$4 * 0.01</f>
        <v>0</v>
      </c>
      <c r="AG52" s="207">
        <f>INDEX($A$44:$H$56,MATCH($L52,$B$44:$B$56,0),MATCH($AA$43,$A$44:$H$44,0))*고양시_Modal_split!I$4 * 0.01</f>
        <v>17.988860232610595</v>
      </c>
      <c r="AH52" s="207">
        <f>INDEX($A$44:$H$56,MATCH($L52,$B$44:$B$56,0),MATCH($AA$43,$A$44:$H$44,0))*고양시_Modal_split!J$4 * 0.01</f>
        <v>24.34699186655055</v>
      </c>
      <c r="AI52" s="207">
        <f>INDEX($A$44:$H$56,MATCH($L52,$B$44:$B$56,0),MATCH($AA$43,$A$44:$H$44,0))*고양시_Modal_split!K$4 * 0.01</f>
        <v>0</v>
      </c>
      <c r="AJ52" s="207">
        <f>INDEX($A$44:$H$56,MATCH($L52,$B$44:$B$56,0),MATCH($AA$43,$A$44:$H$44,0))*고양시_Modal_split!L$4 * 0.01</f>
        <v>23.881762722603721</v>
      </c>
      <c r="AK52" s="207">
        <f>INDEX($A$44:$H$56,MATCH($L52,$B$44:$B$56,0),MATCH($AA$43,$A$44:$H$44,0))*고양시_Modal_split!M$4 * 0.01</f>
        <v>3.463372516048592</v>
      </c>
      <c r="AL52" s="207">
        <f>INDEX($A$44:$H$56,MATCH($L52,$B$44:$B$56,0),MATCH($AA$43,$A$44:$H$44,0))*고양시_Modal_split!N$4 * 0.01</f>
        <v>12.923031776300716</v>
      </c>
      <c r="AM52" s="207">
        <f>INDEX($A$44:$H$56,MATCH($L52,$B$44:$B$56,0),MATCH($AA$43,$A$44:$H$44,0))*고양시_Modal_split!O$4 * 0.01</f>
        <v>5.5827497273619091</v>
      </c>
      <c r="AN52" s="214">
        <f>INDEX($A$44:$H$56,MATCH($L52,$B$44:$B$56,0),MATCH($AA$43,$A$44:$H$44,0))*고양시_Modal_split!P$4 * 0.01</f>
        <v>516.9212710520286</v>
      </c>
      <c r="AO52" s="213">
        <f>INDEX($A$44:$H$56,MATCH($L52,$B$44:$B$56,0),MATCH($AO$43,$A$44:$H$44,0))*고양시_Modal_split!C$5 * 0.01</f>
        <v>1.3747630718653068E-2</v>
      </c>
      <c r="AP52" s="207">
        <f>INDEX($A$44:$H$56,MATCH($L52,$B$44:$B$56,0),MATCH($AO$43,$A$44:$H$44,0))*고양시_Modal_split!D$5 * 0.01</f>
        <v>16.790439651048281</v>
      </c>
      <c r="AQ52" s="207">
        <f>INDEX($A$44:$H$56,MATCH($L52,$B$44:$B$56,0),MATCH($AO$43,$A$44:$H$44,0))*고양시_Modal_split!E$5 * 0.01</f>
        <v>2.2569027096455452</v>
      </c>
      <c r="AR52" s="207">
        <f>INDEX($A$44:$H$56,MATCH($L52,$B$44:$B$56,0),MATCH($AO$43,$A$44:$H$44,0))*고양시_Modal_split!F$5 * 0.01</f>
        <v>0.48116707515285739</v>
      </c>
      <c r="AS52" s="207">
        <f>INDEX($A$44:$H$56,MATCH($L52,$B$44:$B$56,0),MATCH($AO$43,$A$44:$H$44,0))*고양시_Modal_split!G$5 * 0.01</f>
        <v>0.14893266611874156</v>
      </c>
      <c r="AT52" s="207">
        <f>INDEX($A$44:$H$56,MATCH($L52,$B$44:$B$56,0),MATCH($AO$43,$A$44:$H$44,0))*고양시_Modal_split!H$5 * 0.01</f>
        <v>1.6038902505095244E-2</v>
      </c>
      <c r="AU52" s="207">
        <f>INDEX($A$44:$H$56,MATCH($L52,$B$44:$B$56,0),MATCH($AO$43,$A$44:$H$44,0))*고양시_Modal_split!I$5 * 0.01</f>
        <v>0.6346822848444833</v>
      </c>
      <c r="AV52" s="207">
        <f>INDEX($A$44:$H$56,MATCH($L52,$B$44:$B$56,0),MATCH($AO$43,$A$44:$H$44,0))*고양시_Modal_split!J$5 * 0.01</f>
        <v>1.4366274100992455</v>
      </c>
      <c r="AW52" s="207">
        <f>INDEX($A$44:$H$56,MATCH($L52,$B$44:$B$56,0),MATCH($AO$43,$A$44:$H$44,0))*고양시_Modal_split!K$5 * 0.01</f>
        <v>4.582543572884356E-3</v>
      </c>
      <c r="AX52" s="207">
        <f>INDEX($A$44:$H$56,MATCH($L52,$B$44:$B$56,0),MATCH($AO$43,$A$44:$H$44,0))*고양시_Modal_split!L$5 * 0.01</f>
        <v>0.58427430554275528</v>
      </c>
      <c r="AY52" s="207">
        <f>INDEX($A$44:$H$56,MATCH($L52,$B$44:$B$56,0),MATCH($AO$43,$A$44:$H$44,0))*고양시_Modal_split!M$5 * 0.01</f>
        <v>0.15351520969162594</v>
      </c>
      <c r="AZ52" s="207">
        <f>INDEX($A$44:$H$56,MATCH($L52,$B$44:$B$56,0),MATCH($AO$43,$A$44:$H$44,0))*고양시_Modal_split!N$5 * 0.01</f>
        <v>3.895162036951702E-2</v>
      </c>
      <c r="BA52" s="207">
        <f>INDEX($A$44:$H$56,MATCH($L52,$B$44:$B$56,0),MATCH($AO$43,$A$44:$H$44,0))*고양시_Modal_split!O$5 * 0.01</f>
        <v>0.35285585511209538</v>
      </c>
      <c r="BB52" s="214">
        <f>INDEX($A$44:$H$56,MATCH($L52,$B$44:$B$56,0),MATCH($AO$43,$A$44:$H$44,0))*고양시_Modal_split!P$5 * 0.01</f>
        <v>22.912717864421776</v>
      </c>
      <c r="BC52" s="213">
        <f>INDEX($A$44:$H$56,MATCH($L52,$B$44:$B$56,0),MATCH($BC$43,$A$44:$H$44,0))*고양시_Modal_split!C$6 * 0.01</f>
        <v>0</v>
      </c>
      <c r="BD52" s="207">
        <f>INDEX($A$44:$H$56,MATCH($L52,$B$44:$B$56,0),MATCH($BC$43,$A$44:$H$44,0))*고양시_Modal_split!D$6 * 0.01</f>
        <v>5.1454974002786702E-2</v>
      </c>
      <c r="BE52" s="207">
        <f>INDEX($A$44:$H$56,MATCH($L52,$B$44:$B$56,0),MATCH($BC$43,$A$44:$H$44,0))*고양시_Modal_split!E$6 * 0.01</f>
        <v>2.6718559136817152E-4</v>
      </c>
      <c r="BF52" s="207">
        <f>INDEX($A$44:$H$56,MATCH($L52,$B$44:$B$56,0),MATCH($BC$43,$A$44:$H$44,0))*고양시_Modal_split!F$6 * 0.01</f>
        <v>7.5806144527713795E-4</v>
      </c>
      <c r="BG52" s="207">
        <f>INDEX($A$44:$H$56,MATCH($L52,$B$44:$B$56,0),MATCH($BC$43,$A$44:$H$44,0))*고양시_Modal_split!G$6 * 0.01</f>
        <v>0</v>
      </c>
      <c r="BH52" s="207">
        <f>INDEX($A$44:$H$56,MATCH($L52,$B$44:$B$56,0),MATCH($BC$43,$A$44:$H$44,0))*고양시_Modal_split!H$6 * 0.01</f>
        <v>3.2994313724767233E-3</v>
      </c>
      <c r="BI52" s="207">
        <f>INDEX($A$44:$H$56,MATCH($L52,$B$44:$B$56,0),MATCH($BC$43,$A$44:$H$44,0))*고양시_Modal_split!I$6 * 0.01</f>
        <v>2.1996209149844825E-3</v>
      </c>
      <c r="BJ52" s="207">
        <f>INDEX($A$44:$H$56,MATCH($L52,$B$44:$B$56,0),MATCH($BC$43,$A$44:$H$44,0))*고양시_Modal_split!J$6 * 0.01</f>
        <v>3.0695274915320172E-3</v>
      </c>
      <c r="BK52" s="207">
        <f>INDEX($A$44:$H$56,MATCH($L52,$B$44:$B$56,0),MATCH($BC$43,$A$44:$H$44,0))*고양시_Modal_split!K$6 * 0.01</f>
        <v>0</v>
      </c>
      <c r="BL52" s="207">
        <f>INDEX($A$44:$H$56,MATCH($L52,$B$44:$B$56,0),MATCH($BC$43,$A$44:$H$44,0))*고양시_Modal_split!L$6 * 0.01</f>
        <v>4.7223499869723345E-4</v>
      </c>
      <c r="BM52" s="207">
        <f>INDEX($A$44:$H$56,MATCH($L52,$B$44:$B$56,0),MATCH($BC$43,$A$44:$H$44,0))*고양시_Modal_split!M$6 * 0.01</f>
        <v>5.6543927475589798E-4</v>
      </c>
      <c r="BN52" s="207">
        <f>INDEX($A$44:$H$56,MATCH($L52,$B$44:$B$56,0),MATCH($BC$43,$A$44:$H$44,0))*고양시_Modal_split!N$6 * 0.01</f>
        <v>0</v>
      </c>
      <c r="BO52" s="207">
        <f>INDEX($A$44:$H$56,MATCH($L52,$B$44:$B$56,0),MATCH($BC$43,$A$44:$H$44,0))*고양시_Modal_split!O$6 * 0.01</f>
        <v>4.970894723128773E-5</v>
      </c>
      <c r="BP52" s="214">
        <f>INDEX($A$44:$H$56,MATCH($L52,$B$44:$B$56,0),MATCH($BC$43,$A$44:$H$44,0))*고양시_Modal_split!P$6 * 0.01</f>
        <v>6.2136184039109664E-2</v>
      </c>
      <c r="BQ52" s="213">
        <f>INDEX($A$44:$H$56,MATCH($L52,$B$44:$B$56,0),MATCH($BQ$43,$A$44:$H$44,0))*고양시_Modal_split!C$7 * 0.01</f>
        <v>0</v>
      </c>
      <c r="BR52" s="207">
        <f>INDEX($A$44:$H$56,MATCH($L52,$B$44:$B$56,0),MATCH($BQ$43,$A$44:$H$44,0))*고양시_Modal_split!D$7 * 0.01</f>
        <v>0.10788498514097179</v>
      </c>
      <c r="BS52" s="207">
        <f>INDEX($A$44:$H$56,MATCH($L52,$B$44:$B$56,0),MATCH($BQ$43,$A$44:$H$44,0))*고양시_Modal_split!E$7 * 0.01</f>
        <v>5.2639703911799215E-3</v>
      </c>
      <c r="BT52" s="207">
        <f>INDEX($A$44:$H$56,MATCH($L52,$B$44:$B$56,0),MATCH($BQ$43,$A$44:$H$44,0))*고양시_Modal_split!F$7 * 0.01</f>
        <v>1.7605252144414457E-3</v>
      </c>
      <c r="BU52" s="207">
        <f>INDEX($A$44:$H$56,MATCH($L52,$B$44:$B$56,0),MATCH($BQ$43,$A$44:$H$44,0))*고양시_Modal_split!G$7 * 0.01</f>
        <v>7.394205900654072E-4</v>
      </c>
      <c r="BV52" s="207">
        <f>INDEX($A$44:$H$56,MATCH($L52,$B$44:$B$56,0),MATCH($BQ$43,$A$44:$H$44,0))*고양시_Modal_split!H$7 * 0.01</f>
        <v>9.8413359487276812E-3</v>
      </c>
      <c r="BW52" s="207">
        <f>INDEX($A$44:$H$56,MATCH($L52,$B$44:$B$56,0),MATCH($BQ$43,$A$44:$H$44,0))*고양시_Modal_split!I$7 * 0.01</f>
        <v>3.2869005753621797E-2</v>
      </c>
      <c r="BX52" s="207">
        <f>INDEX($A$44:$H$56,MATCH($L52,$B$44:$B$56,0),MATCH($BQ$43,$A$44:$H$44,0))*고양시_Modal_split!J$7 * 0.01</f>
        <v>3.5210504288828913E-5</v>
      </c>
      <c r="BY52" s="207">
        <f>INDEX($A$44:$H$56,MATCH($L52,$B$44:$B$56,0),MATCH($BQ$43,$A$44:$H$44,0))*고양시_Modal_split!K$7 * 0.01</f>
        <v>1.3556044151199131E-2</v>
      </c>
      <c r="BZ52" s="207">
        <f>INDEX($A$44:$H$56,MATCH($L52,$B$44:$B$56,0),MATCH($BQ$43,$A$44:$H$44,0))*고양시_Modal_split!L$7 * 0.01</f>
        <v>1.2323676501090121E-4</v>
      </c>
      <c r="CA52" s="207">
        <f>INDEX($A$44:$H$56,MATCH($L52,$B$44:$B$56,0),MATCH($BQ$43,$A$44:$H$44,0))*고양시_Modal_split!M$7 * 0.01</f>
        <v>3.2921821510055039E-3</v>
      </c>
      <c r="CB52" s="207">
        <f>INDEX($A$44:$H$56,MATCH($L52,$B$44:$B$56,0),MATCH($BQ$43,$A$44:$H$44,0))*고양시_Modal_split!N$7 * 0.01</f>
        <v>6.8660483363216379E-4</v>
      </c>
      <c r="CC52" s="207">
        <f>INDEX($A$44:$H$56,MATCH($L52,$B$44:$B$56,0),MATCH($BQ$43,$A$44:$H$44,0))*고양시_Modal_split!O$7 * 0.01</f>
        <v>0</v>
      </c>
      <c r="CD52" s="214">
        <f>INDEX($A$44:$H$56,MATCH($L52,$B$44:$B$56,0),MATCH($BQ$43,$A$44:$H$44,0))*고양시_Modal_split!P$7 * 0.01</f>
        <v>0.17605252144414457</v>
      </c>
      <c r="CE52" s="218">
        <f t="shared" si="24"/>
        <v>157.55071354945147</v>
      </c>
      <c r="CF52" s="208">
        <f t="shared" si="7"/>
        <v>213.98979346369688</v>
      </c>
      <c r="CG52" s="208">
        <f t="shared" si="8"/>
        <v>46.209664661078534</v>
      </c>
      <c r="CH52" s="208">
        <f t="shared" si="9"/>
        <v>11.490228330527531</v>
      </c>
      <c r="CI52" s="208">
        <f t="shared" si="10"/>
        <v>61.292726247100148</v>
      </c>
      <c r="CJ52" s="208">
        <f t="shared" si="11"/>
        <v>3.5827205915417076E-2</v>
      </c>
      <c r="CK52" s="208">
        <f t="shared" si="12"/>
        <v>20.50662617689833</v>
      </c>
      <c r="CL52" s="208">
        <f t="shared" si="13"/>
        <v>46.021823869919068</v>
      </c>
      <c r="CM52" s="208">
        <f t="shared" si="14"/>
        <v>0.11785162906084493</v>
      </c>
      <c r="CN52" s="208">
        <f t="shared" si="15"/>
        <v>26.474188398823646</v>
      </c>
      <c r="CO52" s="208">
        <f t="shared" si="16"/>
        <v>3.7736386772156805</v>
      </c>
      <c r="CP52" s="208">
        <f t="shared" si="17"/>
        <v>13.029145362395038</v>
      </c>
      <c r="CQ52" s="208">
        <f t="shared" si="18"/>
        <v>6.0553109410253496</v>
      </c>
      <c r="CR52" s="219">
        <f t="shared" si="19"/>
        <v>606.54753851310795</v>
      </c>
      <c r="CS52" s="225">
        <f t="shared" si="25"/>
        <v>0</v>
      </c>
      <c r="CV52" s="265" t="s">
        <v>433</v>
      </c>
      <c r="CW52" s="271" t="s">
        <v>486</v>
      </c>
      <c r="CX52" s="267">
        <f>INDEX($M$43:$Z$56,MATCH($CW52,$L$43:$L$56,0),MATCH(CX$44,$M$44:$Z$44,0))/INDEX(고양시_재차인원!$D$4:$H$35,MATCH("고양시",고양시_재차인원!$B$4:$B$35,0),MATCH('A.일산테크노밸리(859991)_수정'!$CX$43,고양시_재차인원!$D$4:$H$4,0))</f>
        <v>27.91371627421363</v>
      </c>
      <c r="CY52" s="267">
        <f>INDEX($M$43:$Z$56,MATCH($CW52,$L$43:$L$56,0),MATCH(CY$44,$M$44:$Z$44,0))/INDEX(고양시_재차인원!$K$4:$O$20,MATCH("경기도",고양시_재차인원!$K$4:$K$20,0),MATCH('A.일산테크노밸리(859991)_수정'!CY$44,고양시_재차인원!$K$4:$O$4,0))</f>
        <v>2.3089739802422473E-4</v>
      </c>
      <c r="CZ52" s="267">
        <f>INDEX($M$43:$Z$56,MATCH($CW52,$L$43:$L$56,0),MATCH(CZ$44,$M$44:$Z$44,0))/INDEX(고양시_재차인원!$K$4:$O$20,MATCH("경기도",고양시_재차인원!$K$4:$K$20,0),MATCH('A.일산테크노밸리(859991)_수정'!CZ$44,고양시_재차인원!$K$4:$O$4,0))</f>
        <v>6.4189476650734462E-2</v>
      </c>
      <c r="DA52" s="267">
        <f>INDEX($M$43:$Z$56,MATCH($CW52,$L$43:$L$56,0),MATCH(DA$44,$M$44:$Z$44,0))/INDEX(고양시_재차인원!$K$4:$O$20,MATCH("경기도",고양시_재차인원!$K$4:$K$20,0),MATCH('A.일산테크노밸리(859991)_수정'!DA$44,고양시_재차인원!$K$4:$O$4,0))</f>
        <v>1.3383705992756425</v>
      </c>
      <c r="DB52" s="268">
        <f>INDEX($AA$43:$AN$56,MATCH($CW52,$L$43:$L$56,0),MATCH(DB$44,$AA$44:$AN$44,0))/INDEX(고양시_재차인원!$D$4:$H$35,MATCH("고양시",고양시_재차인원!$B$4:$B$35,0),MATCH('A.일산테크노밸리(859991)_수정'!$DB$43,고양시_재차인원!$D$4:$H$4,0))</f>
        <v>117.57209335204652</v>
      </c>
      <c r="DC52" s="267">
        <f>INDEX($AA$43:$AN$56,MATCH($CW52,$L$43:$L$56,0),MATCH(DC$44,$AA$44:$AN$44,0))/INDEX(고양시_재차인원!$K$4:$O$20,MATCH("경기도",고양시_재차인원!$K$4:$K$20,0),MATCH('A.일산테크노밸리(859991)_수정'!DC$44,고양시_재차인원!$K$4:$O$4,0))</f>
        <v>0</v>
      </c>
      <c r="DD52" s="267">
        <f>INDEX($AA$43:$AN$56,MATCH($CW52,$L$43:$L$56,0),MATCH(DD$44,$AA$44:$AN$44,0))/INDEX(고양시_재차인원!$K$4:$O$20,MATCH("경기도",고양시_재차인원!$K$4:$K$20,0),MATCH('A.일산테크노밸리(859991)_수정'!DD$44,고양시_재차인원!$K$4:$O$4,0))</f>
        <v>0.6248301574369779</v>
      </c>
      <c r="DE52" s="267">
        <f>INDEX($AA$43:$AN$56,MATCH($CW52,$L$43:$L$56,0),MATCH(DE$44,$AA$44:$AN$44,0))/INDEX(고양시_재차인원!$K$4:$O$20,MATCH("경기도",고양시_재차인원!$K$4:$K$20,0),MATCH('A.일산테크노밸리(859991)_수정'!DE$44,고양시_재차인원!$K$4:$O$4,0))</f>
        <v>15.921175148402481</v>
      </c>
      <c r="DF52" s="268">
        <f>INDEX($AO$43:$BB$56,MATCH($CW52,$L$43:$L$56,0),MATCH(DF$44,$AO$44:$BB$44,0))/INDEX(고양시_재차인원!$D$4:$H$35,MATCH("고양시",고양시_재차인원!$B$4:$B$35,0),MATCH('A.일산테크노밸리(859991)_수정'!$DF$43,고양시_재차인원!$D$4:$H$4,0))</f>
        <v>12.915722808498677</v>
      </c>
      <c r="DG52" s="267">
        <f>INDEX($AO$43:$BB$56,MATCH($CW52,$L$43:$L$56,0),MATCH(DG$44,$AO$44:$BB$44,0))/INDEX(고양시_재차인원!$K$4:$O$20,MATCH("경기도",고양시_재차인원!$K$4:$K$20,0),MATCH('A.일산테크노밸리(859991)_수정'!DG$44,고양시_재차인원!$K$4:$O$4,0))</f>
        <v>5.5709977440414186E-4</v>
      </c>
      <c r="DH52" s="267">
        <f>INDEX($AO$43:$BB$56,MATCH($CW52,$L$43:$L$56,0),MATCH(DH$44,$AO$44:$BB$44,0))/INDEX(고양시_재차인원!$K$4:$O$20,MATCH("경기도",고양시_재차인원!$K$4:$K$20,0),MATCH('A.일산테크노밸리(859991)_수정'!DH$44,고양시_재차인원!$K$4:$O$4,0))</f>
        <v>2.2045233929992473E-2</v>
      </c>
      <c r="DI52" s="267">
        <f>INDEX($AO$43:$BB$56,MATCH($CW52,$L$43:$L$56,0),MATCH(DI$44,$AO$44:$BB$44,0))/INDEX(고양시_재차인원!$K$4:$O$20,MATCH("경기도",고양시_재차인원!$K$4:$K$20,0),MATCH('A.일산테크노밸리(859991)_수정'!DI$44,고양시_재차인원!$K$4:$O$4,0))</f>
        <v>0.3895162036951702</v>
      </c>
      <c r="DJ52" s="268">
        <f>INDEX($BC$43:$BP$56,MATCH($CW52,$L$43:$L$56,0),MATCH(DJ$44,$BC$44:$BP$44,0))/INDEX(고양시_재차인원!$D$4:$H$35,MATCH("고양시",고양시_재차인원!$B$4:$B$35,0),MATCH('A.일산테크노밸리(859991)_수정'!$DJ$43,고양시_재차인원!$D$4:$H$4,0))</f>
        <v>3.7834539707931394E-2</v>
      </c>
      <c r="DK52" s="267">
        <f>INDEX($BC$43:$BP$56,MATCH($CW52,$L$43:$L$56,0),MATCH(DK$44,$BC$44:$BP$44,0))/INDEX(고양시_재차인원!$K$4:$O$20,MATCH("경기도",고양시_재차인원!$K$4:$K$20,0),MATCH('A.일산테크노밸리(859991)_수정'!DK$44,고양시_재차인원!$K$4:$O$4,0))</f>
        <v>1.1460338216313732E-4</v>
      </c>
      <c r="DL52" s="267">
        <f>INDEX($BC$43:$BP$56,MATCH($CW52,$L$43:$L$56,0),MATCH(DL$44,$BC$44:$BP$44,0))/INDEX(고양시_재차인원!$K$4:$O$20,MATCH("경기도",고양시_재차인원!$K$4:$K$20,0),MATCH('A.일산테크노밸리(859991)_수정'!DL$44,고양시_재차인원!$K$4:$O$4,0))</f>
        <v>7.6402254775424883E-5</v>
      </c>
      <c r="DM52" s="267">
        <f>INDEX($BC$43:$BP$56,MATCH($CW52,$L$43:$L$56,0),MATCH(DM$44,$BC$44:$BP$44,0))/INDEX(고양시_재차인원!$K$4:$O$20,MATCH("경기도",고양시_재차인원!$K$4:$K$20,0),MATCH('A.일산테크노밸리(859991)_수정'!DM$44,고양시_재차인원!$K$4:$O$4,0))</f>
        <v>3.1482333246482232E-4</v>
      </c>
      <c r="DN52" s="268">
        <f>INDEX($BQ$43:$CD$56,MATCH($CW52,$L$43:$L$56,0),MATCH(DN$44,$BQ$44:$CD$44,0))/INDEX(고양시_재차인원!$D$4:$H$35,MATCH("고양시",고양시_재차인원!$B$4:$B$35,0),MATCH('A.일산테크노밸리(859991)_수정'!$DN$43,고양시_재차인원!$D$4:$H$4,0))</f>
        <v>8.5623004080136345E-2</v>
      </c>
      <c r="DO52" s="267">
        <f>INDEX($BQ$43:$CD$56,MATCH($CW52,$L$43:$L$56,0),MATCH(DO$44,$BQ$44:$CD$44,0))/INDEX(고양시_재차인원!$K$4:$O$20,MATCH("경기도",고양시_재차인원!$K$4:$K$20,0),MATCH('A.일산테크노밸리(859991)_수정'!DO$44,고양시_재차인원!$K$4:$O$4,0))</f>
        <v>3.4183174535351449E-4</v>
      </c>
      <c r="DP52" s="267">
        <f>INDEX($BQ$43:$CD$56,MATCH($CW52,$L$43:$L$56,0),MATCH(DP$44,$BQ$44:$CD$44,0))/INDEX(고양시_재차인원!$K$4:$O$20,MATCH("경기도",고양시_재차인원!$K$4:$K$20,0),MATCH('A.일산테크노밸리(859991)_수정'!DP$44,고양시_재차인원!$K$4:$O$4,0))</f>
        <v>1.1416813391324E-3</v>
      </c>
      <c r="DQ52" s="267">
        <f>INDEX($BQ$43:$CD$56,MATCH($CW52,$L$43:$L$56,0),MATCH(DQ$44,$BQ$44:$CD$44,0))/INDEX(고양시_재차인원!$K$4:$O$20,MATCH("경기도",고양시_재차인원!$K$4:$K$20,0),MATCH('A.일산테크노밸리(859991)_수정'!DQ$44,고양시_재차인원!$K$4:$O$4,0))</f>
        <v>8.215784334060081E-5</v>
      </c>
      <c r="DR52" s="269">
        <f t="shared" si="26"/>
        <v>158.52498997854693</v>
      </c>
      <c r="DS52" s="270">
        <f t="shared" si="20"/>
        <v>1.2444322999450184E-3</v>
      </c>
      <c r="DT52" s="270">
        <f t="shared" si="21"/>
        <v>0.7122829516116127</v>
      </c>
      <c r="DU52" s="270">
        <f t="shared" si="22"/>
        <v>17.649458932549102</v>
      </c>
      <c r="DW52" s="278"/>
      <c r="DX52" s="278" t="s">
        <v>595</v>
      </c>
      <c r="DY52" s="281">
        <f>DR54+DU54</f>
        <v>314.06262052615313</v>
      </c>
      <c r="DZ52" s="281">
        <f>DS54+DT54</f>
        <v>1.271990810208349</v>
      </c>
      <c r="EC52" s="412" t="s">
        <v>15</v>
      </c>
      <c r="ED52" s="412" t="s">
        <v>572</v>
      </c>
      <c r="EE52" s="412">
        <v>10028.5581</v>
      </c>
      <c r="EF52" s="412">
        <v>4.6576536899844041E-2</v>
      </c>
      <c r="EG52" s="413">
        <v>859008</v>
      </c>
      <c r="EH52" s="414">
        <f t="shared" si="29"/>
        <v>377.83685161060947</v>
      </c>
      <c r="EI52" s="415">
        <f t="shared" si="30"/>
        <v>1.5302839994189279</v>
      </c>
      <c r="EJ52" s="402">
        <v>0</v>
      </c>
      <c r="EM52" s="278" t="s">
        <v>15</v>
      </c>
      <c r="EN52" s="278" t="s">
        <v>572</v>
      </c>
      <c r="EO52" s="278">
        <v>10028.5581</v>
      </c>
      <c r="EP52" s="278">
        <v>4.6576536899844041E-2</v>
      </c>
      <c r="EQ52" s="289">
        <v>859008</v>
      </c>
      <c r="ER52" s="290">
        <f t="shared" si="31"/>
        <v>377.83685161060947</v>
      </c>
      <c r="ES52" s="291">
        <f t="shared" si="23"/>
        <v>1.5302839994189279</v>
      </c>
      <c r="ET52" s="402">
        <v>0</v>
      </c>
      <c r="EV52" s="34"/>
      <c r="EW52" s="34"/>
      <c r="EX52" s="34"/>
      <c r="EY52" s="34"/>
      <c r="EZ52" s="378"/>
      <c r="FA52" s="401"/>
      <c r="FB52" s="402"/>
      <c r="FC52" s="402"/>
    </row>
    <row r="53" spans="1:159" ht="27" customHeight="1">
      <c r="A53" s="205" t="s">
        <v>491</v>
      </c>
      <c r="B53" s="203" t="s">
        <v>23</v>
      </c>
      <c r="C53" s="400">
        <f>'A.일산테크노밸리(859991)_수정'!$P36*KTDB_TripDistribution_2035!L$12 * (1 + KTDB_발생량도착량_증가율!$D$7*5) * (1 + KTDB_발생량도착량_증가율!$E$7*5)</f>
        <v>221.36729656243986</v>
      </c>
      <c r="D53" s="400">
        <f>'A.일산테크노밸리(859991)_수정'!$P36*KTDB_TripDistribution_2035!M$12 * (1 + KTDB_발생량도착량_증가율!$D$7*5) * (1 + KTDB_발생량도착량_증가율!$E$7*5)</f>
        <v>1721.3816183072456</v>
      </c>
      <c r="E53" s="400">
        <f>'A.일산테크노밸리(859991)_수정'!$P36*KTDB_TripDistribution_2035!N$12 * (1 + KTDB_발생량도착량_증가율!$D$7*5) * (1 + KTDB_발생량도착량_증가율!$E$7*5)</f>
        <v>76.300848051783632</v>
      </c>
      <c r="F53" s="400">
        <f>'A.일산테크노밸리(859991)_수정'!$P36*KTDB_TripDistribution_2035!O$12 * (1 + KTDB_발생량도착량_증가율!$D$7*5) * (1 + KTDB_발생량도착량_증가율!$E$7*5)</f>
        <v>0.20691755403873446</v>
      </c>
      <c r="G53" s="400">
        <f>'A.일산테크노밸리(859991)_수정'!$P36*KTDB_TripDistribution_2035!P$12 * (1 + KTDB_발생량도착량_증가율!$D$7*5) * (1 + KTDB_발생량도착량_증가율!$E$7*5)</f>
        <v>0.58626640310974953</v>
      </c>
      <c r="H53" s="400">
        <f>'A.일산테크노밸리(859991)_수정'!$P36*KTDB_TripDistribution_2035!Q$12 * (1 + KTDB_발생량도착량_증가율!$D$7*5) * (1 + KTDB_발생량도착량_증가율!$E$7*5)</f>
        <v>2019.8429468786178</v>
      </c>
      <c r="J53" s="230">
        <f t="shared" si="6"/>
        <v>2019.8429468786173</v>
      </c>
      <c r="K53" s="206"/>
      <c r="L53" s="210" t="s">
        <v>23</v>
      </c>
      <c r="M53" s="213">
        <f>INDEX($A$44:$H$56,MATCH($L53,$B$44:$B$56,0),MATCH($M$43,$A$44:$H$44,0))*고양시_Modal_split!C$3 * 0.01</f>
        <v>0.6198284303748316</v>
      </c>
      <c r="N53" s="207">
        <f>INDEX($A$44:$H$56,MATCH($L53,$B$44:$B$56,0),MATCH($M$43,$A$44:$H$44,0))*고양시_Modal_split!D$3 * 0.01</f>
        <v>104.10903957331548</v>
      </c>
      <c r="O53" s="207">
        <f>INDEX($A$44:$H$56,MATCH($L53,$B$44:$B$56,0),MATCH($M$43,$A$44:$H$44,0))*고양시_Modal_split!E$3 * 0.01</f>
        <v>12.595799174402828</v>
      </c>
      <c r="P53" s="207">
        <f>INDEX($A$44:$H$56,MATCH($L53,$B$44:$B$56,0),MATCH($M$43,$A$44:$H$44,0))*고양시_Modal_split!F$3 * 0.01</f>
        <v>20.299381094775736</v>
      </c>
      <c r="Q53" s="207">
        <f>INDEX($A$44:$H$56,MATCH($L53,$B$44:$B$56,0),MATCH($M$43,$A$44:$H$44,0))*고양시_Modal_split!G$3 * 0.01</f>
        <v>2.0365791283744468</v>
      </c>
      <c r="R53" s="207">
        <f>INDEX($A$44:$H$56,MATCH($L53,$B$44:$B$56,0),MATCH($M$43,$A$44:$H$44,0))*고양시_Modal_split!H$3 * 0.01</f>
        <v>2.2136729656243987E-2</v>
      </c>
      <c r="S53" s="207">
        <f>INDEX($A$44:$H$56,MATCH($L53,$B$44:$B$56,0),MATCH($M$43,$A$44:$H$44,0))*고양시_Modal_split!I$3 * 0.01</f>
        <v>6.1540108444358284</v>
      </c>
      <c r="T53" s="207">
        <f>INDEX($A$44:$H$56,MATCH($L53,$B$44:$B$56,0),MATCH($M$43,$A$44:$H$44,0))*고양시_Modal_split!J$3 * 0.01</f>
        <v>67.384205073606694</v>
      </c>
      <c r="U53" s="207">
        <f>INDEX($A$44:$H$56,MATCH($L53,$B$44:$B$56,0),MATCH($M$43,$A$44:$H$44,0))*고양시_Modal_split!K$3 * 0.01</f>
        <v>0.33205094484365982</v>
      </c>
      <c r="V53" s="207">
        <f>INDEX($A$44:$H$56,MATCH($L53,$B$44:$B$56,0),MATCH($M$43,$A$44:$H$44,0))*고양시_Modal_split!L$3 * 0.01</f>
        <v>6.6852923561856841</v>
      </c>
      <c r="W53" s="207">
        <f>INDEX($A$44:$H$56,MATCH($L53,$B$44:$B$56,0),MATCH($M$43,$A$44:$H$44,0))*고양시_Modal_split!M$3 * 0.01</f>
        <v>0.50914478209361169</v>
      </c>
      <c r="X53" s="207">
        <f>INDEX($A$44:$H$56,MATCH($L53,$B$44:$B$56,0),MATCH($M$43,$A$44:$H$44,0))*고양시_Modal_split!N$3 * 0.01</f>
        <v>0.22136729656243986</v>
      </c>
      <c r="Y53" s="207">
        <f>INDEX($A$44:$H$56,MATCH($L53,$B$44:$B$56,0),MATCH($M$43,$A$44:$H$44,0))*고양시_Modal_split!O$3 * 0.01</f>
        <v>0.39846113381239173</v>
      </c>
      <c r="Z53" s="214">
        <f>INDEX($A$44:$H$56,MATCH($L53,$B$44:$B$56,0),MATCH($M$43,$A$44:$H$44,0))*고양시_Modal_split!P$3 * 0.01</f>
        <v>221.36729656243989</v>
      </c>
      <c r="AA53" s="213">
        <f>INDEX($A$44:$H$56,MATCH($L53,$B$44:$B$56,0),MATCH($AA$43,$A$44:$H$44,0))*고양시_Modal_split!C$4 * 0.01</f>
        <v>523.98856461272567</v>
      </c>
      <c r="AB53" s="207">
        <f>INDEX($A$44:$H$56,MATCH($L53,$B$44:$B$56,0),MATCH($AA$43,$A$44:$H$44,0))*고양시_Modal_split!D$4 * 0.01</f>
        <v>552.04708499113372</v>
      </c>
      <c r="AC53" s="207">
        <f>INDEX($A$44:$H$56,MATCH($L53,$B$44:$B$56,0),MATCH($AA$43,$A$44:$H$44,0))*고양시_Modal_split!E$4 * 0.01</f>
        <v>133.75135174247299</v>
      </c>
      <c r="AD53" s="207">
        <f>INDEX($A$44:$H$56,MATCH($L53,$B$44:$B$56,0),MATCH($AA$43,$A$44:$H$44,0))*고양시_Modal_split!F$4 * 0.01</f>
        <v>16.353125373918832</v>
      </c>
      <c r="AE53" s="207">
        <f>INDEX($A$44:$H$56,MATCH($L53,$B$44:$B$56,0),MATCH($AA$43,$A$44:$H$44,0))*고양시_Modal_split!G$4 * 0.01</f>
        <v>201.57378750377845</v>
      </c>
      <c r="AF53" s="207">
        <f>INDEX($A$44:$H$56,MATCH($L53,$B$44:$B$56,0),MATCH($AA$43,$A$44:$H$44,0))*고양시_Modal_split!H$4 * 0.01</f>
        <v>0</v>
      </c>
      <c r="AG53" s="207">
        <f>INDEX($A$44:$H$56,MATCH($L53,$B$44:$B$56,0),MATCH($AA$43,$A$44:$H$44,0))*고양시_Modal_split!I$4 * 0.01</f>
        <v>59.904080317092138</v>
      </c>
      <c r="AH53" s="207">
        <f>INDEX($A$44:$H$56,MATCH($L53,$B$44:$B$56,0),MATCH($AA$43,$A$44:$H$44,0))*고양시_Modal_split!J$4 * 0.01</f>
        <v>81.077074222271264</v>
      </c>
      <c r="AI53" s="207">
        <f>INDEX($A$44:$H$56,MATCH($L53,$B$44:$B$56,0),MATCH($AA$43,$A$44:$H$44,0))*고양시_Modal_split!K$4 * 0.01</f>
        <v>0</v>
      </c>
      <c r="AJ53" s="207">
        <f>INDEX($A$44:$H$56,MATCH($L53,$B$44:$B$56,0),MATCH($AA$43,$A$44:$H$44,0))*고양시_Modal_split!L$4 * 0.01</f>
        <v>79.527830765794747</v>
      </c>
      <c r="AK53" s="207">
        <f>INDEX($A$44:$H$56,MATCH($L53,$B$44:$B$56,0),MATCH($AA$43,$A$44:$H$44,0))*고양시_Modal_split!M$4 * 0.01</f>
        <v>11.533256842658545</v>
      </c>
      <c r="AL53" s="207">
        <f>INDEX($A$44:$H$56,MATCH($L53,$B$44:$B$56,0),MATCH($AA$43,$A$44:$H$44,0))*고양시_Modal_split!N$4 * 0.01</f>
        <v>43.034540457681139</v>
      </c>
      <c r="AM53" s="207">
        <f>INDEX($A$44:$H$56,MATCH($L53,$B$44:$B$56,0),MATCH($AA$43,$A$44:$H$44,0))*고양시_Modal_split!O$4 * 0.01</f>
        <v>18.590921477718254</v>
      </c>
      <c r="AN53" s="214">
        <f>INDEX($A$44:$H$56,MATCH($L53,$B$44:$B$56,0),MATCH($AA$43,$A$44:$H$44,0))*고양시_Modal_split!P$4 * 0.01</f>
        <v>1721.3816183072456</v>
      </c>
      <c r="AO53" s="213">
        <f>INDEX($A$44:$H$56,MATCH($L53,$B$44:$B$56,0),MATCH($AO$43,$A$44:$H$44,0))*고양시_Modal_split!C$5 * 0.01</f>
        <v>4.5780508831070182E-2</v>
      </c>
      <c r="AP53" s="207">
        <f>INDEX($A$44:$H$56,MATCH($L53,$B$44:$B$56,0),MATCH($AO$43,$A$44:$H$44,0))*고양시_Modal_split!D$5 * 0.01</f>
        <v>55.913261452347044</v>
      </c>
      <c r="AQ53" s="207">
        <f>INDEX($A$44:$H$56,MATCH($L53,$B$44:$B$56,0),MATCH($AO$43,$A$44:$H$44,0))*고양시_Modal_split!E$5 * 0.01</f>
        <v>7.5156335331006874</v>
      </c>
      <c r="AR53" s="207">
        <f>INDEX($A$44:$H$56,MATCH($L53,$B$44:$B$56,0),MATCH($AO$43,$A$44:$H$44,0))*고양시_Modal_split!F$5 * 0.01</f>
        <v>1.6023178090874564</v>
      </c>
      <c r="AS53" s="207">
        <f>INDEX($A$44:$H$56,MATCH($L53,$B$44:$B$56,0),MATCH($AO$43,$A$44:$H$44,0))*고양시_Modal_split!G$5 * 0.01</f>
        <v>0.49595551233659363</v>
      </c>
      <c r="AT53" s="207">
        <f>INDEX($A$44:$H$56,MATCH($L53,$B$44:$B$56,0),MATCH($AO$43,$A$44:$H$44,0))*고양시_Modal_split!H$5 * 0.01</f>
        <v>5.3410593636248532E-2</v>
      </c>
      <c r="AU53" s="207">
        <f>INDEX($A$44:$H$56,MATCH($L53,$B$44:$B$56,0),MATCH($AO$43,$A$44:$H$44,0))*고양시_Modal_split!I$5 * 0.01</f>
        <v>2.1135334910344064</v>
      </c>
      <c r="AV53" s="207">
        <f>INDEX($A$44:$H$56,MATCH($L53,$B$44:$B$56,0),MATCH($AO$43,$A$44:$H$44,0))*고양시_Modal_split!J$5 * 0.01</f>
        <v>4.7840631728468344</v>
      </c>
      <c r="AW53" s="207">
        <f>INDEX($A$44:$H$56,MATCH($L53,$B$44:$B$56,0),MATCH($AO$43,$A$44:$H$44,0))*고양시_Modal_split!K$5 * 0.01</f>
        <v>1.5260169610356727E-2</v>
      </c>
      <c r="AX53" s="207">
        <f>INDEX($A$44:$H$56,MATCH($L53,$B$44:$B$56,0),MATCH($AO$43,$A$44:$H$44,0))*고양시_Modal_split!L$5 * 0.01</f>
        <v>1.9456716253204827</v>
      </c>
      <c r="AY53" s="207">
        <f>INDEX($A$44:$H$56,MATCH($L53,$B$44:$B$56,0),MATCH($AO$43,$A$44:$H$44,0))*고양시_Modal_split!M$5 * 0.01</f>
        <v>0.51121568194695033</v>
      </c>
      <c r="AZ53" s="207">
        <f>INDEX($A$44:$H$56,MATCH($L53,$B$44:$B$56,0),MATCH($AO$43,$A$44:$H$44,0))*고양시_Modal_split!N$5 * 0.01</f>
        <v>0.12971144168803217</v>
      </c>
      <c r="BA53" s="207">
        <f>INDEX($A$44:$H$56,MATCH($L53,$B$44:$B$56,0),MATCH($AO$43,$A$44:$H$44,0))*고양시_Modal_split!O$5 * 0.01</f>
        <v>1.1750330599974681</v>
      </c>
      <c r="BB53" s="214">
        <f>INDEX($A$44:$H$56,MATCH($L53,$B$44:$B$56,0),MATCH($AO$43,$A$44:$H$44,0))*고양시_Modal_split!P$5 * 0.01</f>
        <v>76.300848051783632</v>
      </c>
      <c r="BC53" s="213">
        <f>INDEX($A$44:$H$56,MATCH($L53,$B$44:$B$56,0),MATCH($BC$43,$A$44:$H$44,0))*고양시_Modal_split!C$6 * 0.01</f>
        <v>0</v>
      </c>
      <c r="BD53" s="207">
        <f>INDEX($A$44:$H$56,MATCH($L53,$B$44:$B$56,0),MATCH($BC$43,$A$44:$H$44,0))*고양시_Modal_split!D$6 * 0.01</f>
        <v>0.17134842649947599</v>
      </c>
      <c r="BE53" s="207">
        <f>INDEX($A$44:$H$56,MATCH($L53,$B$44:$B$56,0),MATCH($BC$43,$A$44:$H$44,0))*고양시_Modal_split!E$6 * 0.01</f>
        <v>8.8974548236655821E-4</v>
      </c>
      <c r="BF53" s="207">
        <f>INDEX($A$44:$H$56,MATCH($L53,$B$44:$B$56,0),MATCH($BC$43,$A$44:$H$44,0))*고양시_Modal_split!F$6 * 0.01</f>
        <v>2.5243941592725605E-3</v>
      </c>
      <c r="BG53" s="207">
        <f>INDEX($A$44:$H$56,MATCH($L53,$B$44:$B$56,0),MATCH($BC$43,$A$44:$H$44,0))*고양시_Modal_split!G$6 * 0.01</f>
        <v>0</v>
      </c>
      <c r="BH53" s="207">
        <f>INDEX($A$44:$H$56,MATCH($L53,$B$44:$B$56,0),MATCH($BC$43,$A$44:$H$44,0))*고양시_Modal_split!H$6 * 0.01</f>
        <v>1.0987322119456801E-2</v>
      </c>
      <c r="BI53" s="207">
        <f>INDEX($A$44:$H$56,MATCH($L53,$B$44:$B$56,0),MATCH($BC$43,$A$44:$H$44,0))*고양시_Modal_split!I$6 * 0.01</f>
        <v>7.3248814129712007E-3</v>
      </c>
      <c r="BJ53" s="207">
        <f>INDEX($A$44:$H$56,MATCH($L53,$B$44:$B$56,0),MATCH($BC$43,$A$44:$H$44,0))*고양시_Modal_split!J$6 * 0.01</f>
        <v>1.0221727169513481E-2</v>
      </c>
      <c r="BK53" s="207">
        <f>INDEX($A$44:$H$56,MATCH($L53,$B$44:$B$56,0),MATCH($BC$43,$A$44:$H$44,0))*고양시_Modal_split!K$6 * 0.01</f>
        <v>0</v>
      </c>
      <c r="BL53" s="207">
        <f>INDEX($A$44:$H$56,MATCH($L53,$B$44:$B$56,0),MATCH($BC$43,$A$44:$H$44,0))*고양시_Modal_split!L$6 * 0.01</f>
        <v>1.572573410694382E-3</v>
      </c>
      <c r="BM53" s="207">
        <f>INDEX($A$44:$H$56,MATCH($L53,$B$44:$B$56,0),MATCH($BC$43,$A$44:$H$44,0))*고양시_Modal_split!M$6 * 0.01</f>
        <v>1.8829497417524837E-3</v>
      </c>
      <c r="BN53" s="207">
        <f>INDEX($A$44:$H$56,MATCH($L53,$B$44:$B$56,0),MATCH($BC$43,$A$44:$H$44,0))*고양시_Modal_split!N$6 * 0.01</f>
        <v>0</v>
      </c>
      <c r="BO53" s="207">
        <f>INDEX($A$44:$H$56,MATCH($L53,$B$44:$B$56,0),MATCH($BC$43,$A$44:$H$44,0))*고양시_Modal_split!O$6 * 0.01</f>
        <v>1.6553404323098756E-4</v>
      </c>
      <c r="BP53" s="214">
        <f>INDEX($A$44:$H$56,MATCH($L53,$B$44:$B$56,0),MATCH($BC$43,$A$44:$H$44,0))*고양시_Modal_split!P$6 * 0.01</f>
        <v>0.20691755403873446</v>
      </c>
      <c r="BQ53" s="213">
        <f>INDEX($A$44:$H$56,MATCH($L53,$B$44:$B$56,0),MATCH($BQ$43,$A$44:$H$44,0))*고양시_Modal_split!C$7 * 0.01</f>
        <v>0</v>
      </c>
      <c r="BR53" s="207">
        <f>INDEX($A$44:$H$56,MATCH($L53,$B$44:$B$56,0),MATCH($BQ$43,$A$44:$H$44,0))*고양시_Modal_split!D$7 * 0.01</f>
        <v>0.35926405182565452</v>
      </c>
      <c r="BS53" s="207">
        <f>INDEX($A$44:$H$56,MATCH($L53,$B$44:$B$56,0),MATCH($BQ$43,$A$44:$H$44,0))*고양시_Modal_split!E$7 * 0.01</f>
        <v>1.7529365452981508E-2</v>
      </c>
      <c r="BT53" s="207">
        <f>INDEX($A$44:$H$56,MATCH($L53,$B$44:$B$56,0),MATCH($BQ$43,$A$44:$H$44,0))*고양시_Modal_split!F$7 * 0.01</f>
        <v>5.8626640310974953E-3</v>
      </c>
      <c r="BU53" s="207">
        <f>INDEX($A$44:$H$56,MATCH($L53,$B$44:$B$56,0),MATCH($BQ$43,$A$44:$H$44,0))*고양시_Modal_split!G$7 * 0.01</f>
        <v>2.4623188930609479E-3</v>
      </c>
      <c r="BV53" s="207">
        <f>INDEX($A$44:$H$56,MATCH($L53,$B$44:$B$56,0),MATCH($BQ$43,$A$44:$H$44,0))*고양시_Modal_split!H$7 * 0.01</f>
        <v>3.2772291933834997E-2</v>
      </c>
      <c r="BW53" s="207">
        <f>INDEX($A$44:$H$56,MATCH($L53,$B$44:$B$56,0),MATCH($BQ$43,$A$44:$H$44,0))*고양시_Modal_split!I$7 * 0.01</f>
        <v>0.10945593746059025</v>
      </c>
      <c r="BX53" s="207">
        <f>INDEX($A$44:$H$56,MATCH($L53,$B$44:$B$56,0),MATCH($BQ$43,$A$44:$H$44,0))*고양시_Modal_split!J$7 * 0.01</f>
        <v>1.1725328062194991E-4</v>
      </c>
      <c r="BY53" s="207">
        <f>INDEX($A$44:$H$56,MATCH($L53,$B$44:$B$56,0),MATCH($BQ$43,$A$44:$H$44,0))*고양시_Modal_split!K$7 * 0.01</f>
        <v>4.5142513039450716E-2</v>
      </c>
      <c r="BZ53" s="207">
        <f>INDEX($A$44:$H$56,MATCH($L53,$B$44:$B$56,0),MATCH($BQ$43,$A$44:$H$44,0))*고양시_Modal_split!L$7 * 0.01</f>
        <v>4.1038648217682467E-4</v>
      </c>
      <c r="CA53" s="207">
        <f>INDEX($A$44:$H$56,MATCH($L53,$B$44:$B$56,0),MATCH($BQ$43,$A$44:$H$44,0))*고양시_Modal_split!M$7 * 0.01</f>
        <v>1.0963181738152318E-2</v>
      </c>
      <c r="CB53" s="207">
        <f>INDEX($A$44:$H$56,MATCH($L53,$B$44:$B$56,0),MATCH($BQ$43,$A$44:$H$44,0))*고양시_Modal_split!N$7 * 0.01</f>
        <v>2.2864389721280231E-3</v>
      </c>
      <c r="CC53" s="207">
        <f>INDEX($A$44:$H$56,MATCH($L53,$B$44:$B$56,0),MATCH($BQ$43,$A$44:$H$44,0))*고양시_Modal_split!O$7 * 0.01</f>
        <v>0</v>
      </c>
      <c r="CD53" s="214">
        <f>INDEX($A$44:$H$56,MATCH($L53,$B$44:$B$56,0),MATCH($BQ$43,$A$44:$H$44,0))*고양시_Modal_split!P$7 * 0.01</f>
        <v>0.58626640310974953</v>
      </c>
      <c r="CE53" s="218">
        <f t="shared" si="24"/>
        <v>524.65417355193154</v>
      </c>
      <c r="CF53" s="208">
        <f t="shared" si="7"/>
        <v>712.59999849512133</v>
      </c>
      <c r="CG53" s="208">
        <f t="shared" si="8"/>
        <v>153.88120356091187</v>
      </c>
      <c r="CH53" s="208">
        <f t="shared" si="9"/>
        <v>38.2632113359724</v>
      </c>
      <c r="CI53" s="208">
        <f t="shared" si="10"/>
        <v>204.10878446338256</v>
      </c>
      <c r="CJ53" s="208">
        <f t="shared" si="11"/>
        <v>0.11930693734578432</v>
      </c>
      <c r="CK53" s="208">
        <f t="shared" si="12"/>
        <v>68.288405471435937</v>
      </c>
      <c r="CL53" s="208">
        <f t="shared" si="13"/>
        <v>153.25568144917492</v>
      </c>
      <c r="CM53" s="208">
        <f t="shared" si="14"/>
        <v>0.39245362749346724</v>
      </c>
      <c r="CN53" s="208">
        <f t="shared" si="15"/>
        <v>88.160777707193787</v>
      </c>
      <c r="CO53" s="208">
        <f t="shared" si="16"/>
        <v>12.566463438179012</v>
      </c>
      <c r="CP53" s="208">
        <f t="shared" si="17"/>
        <v>43.387905634903738</v>
      </c>
      <c r="CQ53" s="208">
        <f t="shared" si="18"/>
        <v>20.164581205571345</v>
      </c>
      <c r="CR53" s="219">
        <f t="shared" si="19"/>
        <v>2019.8429468786173</v>
      </c>
      <c r="CS53" s="225">
        <f t="shared" si="25"/>
        <v>0</v>
      </c>
      <c r="CV53" s="265" t="s">
        <v>433</v>
      </c>
      <c r="CW53" s="271" t="s">
        <v>23</v>
      </c>
      <c r="CX53" s="267">
        <f>INDEX($M$43:$Z$56,MATCH($CW53,$L$43:$L$56,0),MATCH(CX$44,$M$44:$Z$44,0))/INDEX(고양시_재차인원!$D$4:$H$35,MATCH("고양시",고양시_재차인원!$B$4:$B$35,0),MATCH('A.일산테크노밸리(859991)_수정'!$CX$43,고양시_재차인원!$D$4:$H$4,0))</f>
        <v>92.954499619031679</v>
      </c>
      <c r="CY53" s="267">
        <f>INDEX($M$43:$Z$56,MATCH($CW53,$L$43:$L$56,0),MATCH(CY$44,$M$44:$Z$44,0))/INDEX(고양시_재차인원!$K$4:$O$20,MATCH("경기도",고양시_재차인원!$K$4:$K$20,0),MATCH('A.일산테크노밸리(859991)_수정'!CY$44,고양시_재차인원!$K$4:$O$4,0))</f>
        <v>7.689034267538724E-4</v>
      </c>
      <c r="CZ53" s="267">
        <f>INDEX($M$43:$Z$56,MATCH($CW53,$L$43:$L$56,0),MATCH(CZ$44,$M$44:$Z$44,0))/INDEX(고양시_재차인원!$K$4:$O$20,MATCH("경기도",고양시_재차인원!$K$4:$K$20,0),MATCH('A.일산테크노밸리(859991)_수정'!CZ$44,고양시_재차인원!$K$4:$O$4,0))</f>
        <v>0.21375515263757655</v>
      </c>
      <c r="DA53" s="267">
        <f>INDEX($M$43:$Z$56,MATCH($CW53,$L$43:$L$56,0),MATCH(DA$44,$M$44:$Z$44,0))/INDEX(고양시_재차인원!$K$4:$O$20,MATCH("경기도",고양시_재차인원!$K$4:$K$20,0),MATCH('A.일산테크노밸리(859991)_수정'!DA$44,고양시_재차인원!$K$4:$O$4,0))</f>
        <v>4.4568615707904558</v>
      </c>
      <c r="DB53" s="268">
        <f>INDEX($AA$43:$AN$56,MATCH($CW53,$L$43:$L$56,0),MATCH(DB$44,$AA$44:$AN$44,0))/INDEX(고양시_재차인원!$D$4:$H$35,MATCH("고양시",고양시_재차인원!$B$4:$B$35,0),MATCH('A.일산테크노밸리(859991)_수정'!$DB$43,고양시_재차인원!$D$4:$H$4,0))</f>
        <v>391.5227553128608</v>
      </c>
      <c r="DC53" s="267">
        <f>INDEX($AA$43:$AN$56,MATCH($CW53,$L$43:$L$56,0),MATCH(DC$44,$AA$44:$AN$44,0))/INDEX(고양시_재차인원!$K$4:$O$20,MATCH("경기도",고양시_재차인원!$K$4:$K$20,0),MATCH('A.일산테크노밸리(859991)_수정'!DC$44,고양시_재차인원!$K$4:$O$4,0))</f>
        <v>0</v>
      </c>
      <c r="DD53" s="267">
        <f>INDEX($AA$43:$AN$56,MATCH($CW53,$L$43:$L$56,0),MATCH(DD$44,$AA$44:$AN$44,0))/INDEX(고양시_재차인원!$K$4:$O$20,MATCH("경기도",고양시_재차인원!$K$4:$K$20,0),MATCH('A.일산테크노밸리(859991)_수정'!DD$44,고양시_재차인원!$K$4:$O$4,0))</f>
        <v>2.0807252628375177</v>
      </c>
      <c r="DE53" s="267">
        <f>INDEX($AA$43:$AN$56,MATCH($CW53,$L$43:$L$56,0),MATCH(DE$44,$AA$44:$AN$44,0))/INDEX(고양시_재차인원!$K$4:$O$20,MATCH("경기도",고양시_재차인원!$K$4:$K$20,0),MATCH('A.일산테크노밸리(859991)_수정'!DE$44,고양시_재차인원!$K$4:$O$4,0))</f>
        <v>53.018553843863167</v>
      </c>
      <c r="DF53" s="268">
        <f>INDEX($AO$43:$BB$56,MATCH($CW53,$L$43:$L$56,0),MATCH(DF$44,$AO$44:$BB$44,0))/INDEX(고양시_재차인원!$D$4:$H$35,MATCH("고양시",고양시_재차인원!$B$4:$B$35,0),MATCH('A.일산테크노밸리(859991)_수정'!$DF$43,고양시_재차인원!$D$4:$H$4,0))</f>
        <v>43.010201117190029</v>
      </c>
      <c r="DG53" s="267">
        <f>INDEX($AO$43:$BB$56,MATCH($CW53,$L$43:$L$56,0),MATCH(DG$44,$AO$44:$BB$44,0))/INDEX(고양시_재차인원!$K$4:$O$20,MATCH("경기도",고양시_재차인원!$K$4:$K$20,0),MATCH('A.일산테크노밸리(859991)_수정'!DG$44,고양시_재차인원!$K$4:$O$4,0))</f>
        <v>1.8551786605157531E-3</v>
      </c>
      <c r="DH53" s="267">
        <f>INDEX($AO$43:$BB$56,MATCH($CW53,$L$43:$L$56,0),MATCH(DH$44,$AO$44:$BB$44,0))/INDEX(고양시_재차인원!$K$4:$O$20,MATCH("경기도",고양시_재차인원!$K$4:$K$20,0),MATCH('A.일산테크노밸리(859991)_수정'!DH$44,고양시_재차인원!$K$4:$O$4,0))</f>
        <v>7.3412069851837666E-2</v>
      </c>
      <c r="DI53" s="267">
        <f>INDEX($AO$43:$BB$56,MATCH($CW53,$L$43:$L$56,0),MATCH(DI$44,$AO$44:$BB$44,0))/INDEX(고양시_재차인원!$K$4:$O$20,MATCH("경기도",고양시_재차인원!$K$4:$K$20,0),MATCH('A.일산테크노밸리(859991)_수정'!DI$44,고양시_재차인원!$K$4:$O$4,0))</f>
        <v>1.2971144168803217</v>
      </c>
      <c r="DJ53" s="268">
        <f>INDEX($BC$43:$BP$56,MATCH($CW53,$L$43:$L$56,0),MATCH(DJ$44,$BC$44:$BP$44,0))/INDEX(고양시_재차인원!$D$4:$H$35,MATCH("고양시",고양시_재차인원!$B$4:$B$35,0),MATCH('A.일산테크노밸리(859991)_수정'!$DJ$43,고양시_재차인원!$D$4:$H$4,0))</f>
        <v>0.12599149007314409</v>
      </c>
      <c r="DK53" s="267">
        <f>INDEX($BC$43:$BP$56,MATCH($CW53,$L$43:$L$56,0),MATCH(DK$44,$BC$44:$BP$44,0))/INDEX(고양시_재차인원!$K$4:$O$20,MATCH("경기도",고양시_재차인원!$K$4:$K$20,0),MATCH('A.일산테크노밸리(859991)_수정'!DK$44,고양시_재차인원!$K$4:$O$4,0))</f>
        <v>3.8163675302038214E-4</v>
      </c>
      <c r="DL53" s="267">
        <f>INDEX($BC$43:$BP$56,MATCH($CW53,$L$43:$L$56,0),MATCH(DL$44,$BC$44:$BP$44,0))/INDEX(고양시_재차인원!$K$4:$O$20,MATCH("경기도",고양시_재차인원!$K$4:$K$20,0),MATCH('A.일산테크노밸리(859991)_수정'!DL$44,고양시_재차인원!$K$4:$O$4,0))</f>
        <v>2.5442450201358809E-4</v>
      </c>
      <c r="DM53" s="267">
        <f>INDEX($BC$43:$BP$56,MATCH($CW53,$L$43:$L$56,0),MATCH(DM$44,$BC$44:$BP$44,0))/INDEX(고양시_재차인원!$K$4:$O$20,MATCH("경기도",고양시_재차인원!$K$4:$K$20,0),MATCH('A.일산테크노밸리(859991)_수정'!DM$44,고양시_재차인원!$K$4:$O$4,0))</f>
        <v>1.0483822737962546E-3</v>
      </c>
      <c r="DN53" s="268">
        <f>INDEX($BQ$43:$CD$56,MATCH($CW53,$L$43:$L$56,0),MATCH(DN$44,$BQ$44:$CD$44,0))/INDEX(고양시_재차인원!$D$4:$H$35,MATCH("고양시",고양시_재차인원!$B$4:$B$35,0),MATCH('A.일산테크노밸리(859991)_수정'!$DN$43,고양시_재차인원!$D$4:$H$4,0))</f>
        <v>0.28513019986163057</v>
      </c>
      <c r="DO53" s="267">
        <f>INDEX($BQ$43:$CD$56,MATCH($CW53,$L$43:$L$56,0),MATCH(DO$44,$BQ$44:$CD$44,0))/INDEX(고양시_재차인원!$K$4:$O$20,MATCH("경기도",고양시_재차인원!$K$4:$K$20,0),MATCH('A.일산테크노밸리(859991)_수정'!DO$44,고양시_재차인원!$K$4:$O$4,0))</f>
        <v>1.1383220539713441E-3</v>
      </c>
      <c r="DP53" s="267">
        <f>INDEX($BQ$43:$CD$56,MATCH($CW53,$L$43:$L$56,0),MATCH(DP$44,$BQ$44:$CD$44,0))/INDEX(고양시_재차인원!$K$4:$O$20,MATCH("경기도",고양시_재차인원!$K$4:$K$20,0),MATCH('A.일산테크노밸리(859991)_수정'!DP$44,고양시_재차인원!$K$4:$O$4,0))</f>
        <v>3.8018734790062608E-3</v>
      </c>
      <c r="DQ53" s="267">
        <f>INDEX($BQ$43:$CD$56,MATCH($CW53,$L$43:$L$56,0),MATCH(DQ$44,$BQ$44:$CD$44,0))/INDEX(고양시_재차인원!$K$4:$O$20,MATCH("경기도",고양시_재차인원!$K$4:$K$20,0),MATCH('A.일산테크노밸리(859991)_수정'!DQ$44,고양시_재차인원!$K$4:$O$4,0))</f>
        <v>2.7359098811788313E-4</v>
      </c>
      <c r="DR53" s="269">
        <f t="shared" si="26"/>
        <v>527.89857773901736</v>
      </c>
      <c r="DS53" s="270">
        <f t="shared" si="20"/>
        <v>4.1440408942613515E-3</v>
      </c>
      <c r="DT53" s="270">
        <f t="shared" si="21"/>
        <v>2.3719487833079516</v>
      </c>
      <c r="DU53" s="270">
        <f t="shared" si="22"/>
        <v>58.773851804795854</v>
      </c>
      <c r="DW53" s="278"/>
      <c r="DX53" s="278" t="s">
        <v>481</v>
      </c>
      <c r="DY53" s="281">
        <f>DR55+DU55</f>
        <v>99.026160825844784</v>
      </c>
      <c r="DZ53" s="281">
        <f>DS55+DT55</f>
        <v>0.40106767984571218</v>
      </c>
      <c r="EC53" s="412" t="s">
        <v>15</v>
      </c>
      <c r="ED53" s="412" t="s">
        <v>573</v>
      </c>
      <c r="EE53" s="412">
        <v>21685.084499999997</v>
      </c>
      <c r="EF53" s="412">
        <v>0.10071399380839066</v>
      </c>
      <c r="EG53" s="413">
        <v>859009</v>
      </c>
      <c r="EH53" s="414">
        <f t="shared" si="29"/>
        <v>817.00918244568254</v>
      </c>
      <c r="EI53" s="415">
        <f t="shared" si="30"/>
        <v>3.3089839541735708</v>
      </c>
      <c r="EJ53" s="402">
        <v>0</v>
      </c>
      <c r="EM53" s="278" t="s">
        <v>15</v>
      </c>
      <c r="EN53" s="278" t="s">
        <v>573</v>
      </c>
      <c r="EO53" s="278">
        <v>21685.084499999997</v>
      </c>
      <c r="EP53" s="278">
        <v>0.10071399380839066</v>
      </c>
      <c r="EQ53" s="289">
        <v>859009</v>
      </c>
      <c r="ER53" s="290">
        <f t="shared" si="31"/>
        <v>817.00918244568254</v>
      </c>
      <c r="ES53" s="291">
        <f t="shared" si="23"/>
        <v>3.3089839541735708</v>
      </c>
      <c r="ET53" s="402">
        <v>0</v>
      </c>
      <c r="EV53" s="34"/>
      <c r="EW53" s="34"/>
      <c r="EX53" s="34"/>
      <c r="EY53" s="34"/>
      <c r="EZ53" s="378"/>
      <c r="FA53" s="401"/>
      <c r="FB53" s="402"/>
      <c r="FC53" s="402"/>
    </row>
    <row r="54" spans="1:159" ht="16.5" customHeight="1">
      <c r="A54" s="205"/>
      <c r="B54" s="205" t="s">
        <v>144</v>
      </c>
      <c r="C54" s="400">
        <f>'A.일산테크노밸리(859991)_수정'!$P37*KTDB_TripDistribution_2035!L$12 * (1 + KTDB_발생량도착량_증가율!$D$7*5) * (1 + KTDB_발생량도착량_증가율!$E$7*5)</f>
        <v>118.50427897429925</v>
      </c>
      <c r="D54" s="400">
        <f>'A.일산테크노밸리(859991)_수정'!$P37*KTDB_TripDistribution_2035!M$12 * (1 + KTDB_발생량도착량_증가율!$D$7*5) * (1 + KTDB_발생량도착량_증가율!$E$7*5)</f>
        <v>921.50507633621442</v>
      </c>
      <c r="E54" s="400">
        <f>'A.일산테크노밸리(859991)_수정'!$P37*KTDB_TripDistribution_2035!N$12 * (1 + KTDB_발생량도착량_증가율!$D$7*5) * (1 + KTDB_발생량도착량_증가율!$E$7*5)</f>
        <v>40.846037892294383</v>
      </c>
      <c r="F54" s="400">
        <f>'A.일산테크노밸리(859991)_수정'!$P37*KTDB_TripDistribution_2035!O$12 * (1 + KTDB_발생량도착량_증가율!$D$7*5) * (1 + KTDB_발생량도착량_증가율!$E$7*5)</f>
        <v>0.11076891631808602</v>
      </c>
      <c r="G54" s="400">
        <f>'A.일산테크노밸리(859991)_수정'!$P37*KTDB_TripDistribution_2035!P$12 * (1 + KTDB_발생량도착량_증가율!$D$7*5) * (1 + KTDB_발생량도착량_증가율!$E$7*5)</f>
        <v>0.3138452629012447</v>
      </c>
      <c r="H54" s="400">
        <f>'A.일산테크노밸리(859991)_수정'!$P37*KTDB_TripDistribution_2035!Q$12 * (1 + KTDB_발생량도착량_증가율!$D$7*5) * (1 + KTDB_발생량도착량_증가율!$E$7*5)</f>
        <v>1081.2800073820274</v>
      </c>
      <c r="J54" s="230">
        <f t="shared" si="6"/>
        <v>1081.2800073820274</v>
      </c>
      <c r="K54" s="206"/>
      <c r="L54" s="209" t="s">
        <v>24</v>
      </c>
      <c r="M54" s="213">
        <f>INDEX($A$44:$H$56,MATCH($L54,$B$44:$B$56,0),MATCH($M$43,$A$44:$H$44,0))*고양시_Modal_split!C$3 * 0.01</f>
        <v>0.33181198112803784</v>
      </c>
      <c r="N54" s="207">
        <f>INDEX($A$44:$H$56,MATCH($L54,$B$44:$B$56,0),MATCH($M$43,$A$44:$H$44,0))*고양시_Modal_split!D$3 * 0.01</f>
        <v>55.732562401612938</v>
      </c>
      <c r="O54" s="207">
        <f>INDEX($A$44:$H$56,MATCH($L54,$B$44:$B$56,0),MATCH($M$43,$A$44:$H$44,0))*고양시_Modal_split!E$3 * 0.01</f>
        <v>6.7428934736376265</v>
      </c>
      <c r="P54" s="207">
        <f>INDEX($A$44:$H$56,MATCH($L54,$B$44:$B$56,0),MATCH($M$43,$A$44:$H$44,0))*고양시_Modal_split!F$3 * 0.01</f>
        <v>10.866842381943242</v>
      </c>
      <c r="Q54" s="207">
        <f>INDEX($A$44:$H$56,MATCH($L54,$B$44:$B$56,0),MATCH($M$43,$A$44:$H$44,0))*고양시_Modal_split!G$3 * 0.01</f>
        <v>1.090239366563553</v>
      </c>
      <c r="R54" s="207">
        <f>INDEX($A$44:$H$56,MATCH($L54,$B$44:$B$56,0),MATCH($M$43,$A$44:$H$44,0))*고양시_Modal_split!H$3 * 0.01</f>
        <v>1.1850427897429926E-2</v>
      </c>
      <c r="S54" s="207">
        <f>INDEX($A$44:$H$56,MATCH($L54,$B$44:$B$56,0),MATCH($M$43,$A$44:$H$44,0))*고양시_Modal_split!I$3 * 0.01</f>
        <v>3.294418955485519</v>
      </c>
      <c r="T54" s="207">
        <f>INDEX($A$44:$H$56,MATCH($L54,$B$44:$B$56,0),MATCH($M$43,$A$44:$H$44,0))*고양시_Modal_split!J$3 * 0.01</f>
        <v>36.072702519776698</v>
      </c>
      <c r="U54" s="207">
        <f>INDEX($A$44:$H$56,MATCH($L54,$B$44:$B$56,0),MATCH($M$43,$A$44:$H$44,0))*고양시_Modal_split!K$3 * 0.01</f>
        <v>0.17775641846144885</v>
      </c>
      <c r="V54" s="207">
        <f>INDEX($A$44:$H$56,MATCH($L54,$B$44:$B$56,0),MATCH($M$43,$A$44:$H$44,0))*고양시_Modal_split!L$3 * 0.01</f>
        <v>3.5788292250238376</v>
      </c>
      <c r="W54" s="207">
        <f>INDEX($A$44:$H$56,MATCH($L54,$B$44:$B$56,0),MATCH($M$43,$A$44:$H$44,0))*고양시_Modal_split!M$3 * 0.01</f>
        <v>0.27255984164088826</v>
      </c>
      <c r="X54" s="207">
        <f>INDEX($A$44:$H$56,MATCH($L54,$B$44:$B$56,0),MATCH($M$43,$A$44:$H$44,0))*고양시_Modal_split!N$3 * 0.01</f>
        <v>0.11850427897429926</v>
      </c>
      <c r="Y54" s="207">
        <f>INDEX($A$44:$H$56,MATCH($L54,$B$44:$B$56,0),MATCH($M$43,$A$44:$H$44,0))*고양시_Modal_split!O$3 * 0.01</f>
        <v>0.21330770215373865</v>
      </c>
      <c r="Z54" s="214">
        <f>INDEX($A$44:$H$56,MATCH($L54,$B$44:$B$56,0),MATCH($M$43,$A$44:$H$44,0))*고양시_Modal_split!P$3 * 0.01</f>
        <v>118.50427897429925</v>
      </c>
      <c r="AA54" s="213">
        <f>INDEX($A$44:$H$56,MATCH($L54,$B$44:$B$56,0),MATCH($AA$43,$A$44:$H$44,0))*고양시_Modal_split!C$4 * 0.01</f>
        <v>280.50614523674369</v>
      </c>
      <c r="AB54" s="207">
        <f>INDEX($A$44:$H$56,MATCH($L54,$B$44:$B$56,0),MATCH($AA$43,$A$44:$H$44,0))*고양시_Modal_split!D$4 * 0.01</f>
        <v>295.52667798102397</v>
      </c>
      <c r="AC54" s="207">
        <f>INDEX($A$44:$H$56,MATCH($L54,$B$44:$B$56,0),MATCH($AA$43,$A$44:$H$44,0))*고양시_Modal_split!E$4 * 0.01</f>
        <v>71.600944431323867</v>
      </c>
      <c r="AD54" s="207">
        <f>INDEX($A$44:$H$56,MATCH($L54,$B$44:$B$56,0),MATCH($AA$43,$A$44:$H$44,0))*고양시_Modal_split!F$4 * 0.01</f>
        <v>8.7542982251940362</v>
      </c>
      <c r="AE54" s="207">
        <f>INDEX($A$44:$H$56,MATCH($L54,$B$44:$B$56,0),MATCH($AA$43,$A$44:$H$44,0))*고양시_Modal_split!G$4 * 0.01</f>
        <v>107.90824443897071</v>
      </c>
      <c r="AF54" s="207">
        <f>INDEX($A$44:$H$56,MATCH($L54,$B$44:$B$56,0),MATCH($AA$43,$A$44:$H$44,0))*고양시_Modal_split!H$4 * 0.01</f>
        <v>0</v>
      </c>
      <c r="AG54" s="207">
        <f>INDEX($A$44:$H$56,MATCH($L54,$B$44:$B$56,0),MATCH($AA$43,$A$44:$H$44,0))*고양시_Modal_split!I$4 * 0.01</f>
        <v>32.068376656500263</v>
      </c>
      <c r="AH54" s="207">
        <f>INDEX($A$44:$H$56,MATCH($L54,$B$44:$B$56,0),MATCH($AA$43,$A$44:$H$44,0))*고양시_Modal_split!J$4 * 0.01</f>
        <v>43.402889095435704</v>
      </c>
      <c r="AI54" s="207">
        <f>INDEX($A$44:$H$56,MATCH($L54,$B$44:$B$56,0),MATCH($AA$43,$A$44:$H$44,0))*고양시_Modal_split!K$4 * 0.01</f>
        <v>0</v>
      </c>
      <c r="AJ54" s="207">
        <f>INDEX($A$44:$H$56,MATCH($L54,$B$44:$B$56,0),MATCH($AA$43,$A$44:$H$44,0))*고양시_Modal_split!L$4 * 0.01</f>
        <v>42.573534526733113</v>
      </c>
      <c r="AK54" s="207">
        <f>INDEX($A$44:$H$56,MATCH($L54,$B$44:$B$56,0),MATCH($AA$43,$A$44:$H$44,0))*고양시_Modal_split!M$4 * 0.01</f>
        <v>6.1740840114526376</v>
      </c>
      <c r="AL54" s="207">
        <f>INDEX($A$44:$H$56,MATCH($L54,$B$44:$B$56,0),MATCH($AA$43,$A$44:$H$44,0))*고양시_Modal_split!N$4 * 0.01</f>
        <v>23.037626908405361</v>
      </c>
      <c r="AM54" s="207">
        <f>INDEX($A$44:$H$56,MATCH($L54,$B$44:$B$56,0),MATCH($AA$43,$A$44:$H$44,0))*고양시_Modal_split!O$4 * 0.01</f>
        <v>9.9522548244311171</v>
      </c>
      <c r="AN54" s="214">
        <f>INDEX($A$44:$H$56,MATCH($L54,$B$44:$B$56,0),MATCH($AA$43,$A$44:$H$44,0))*고양시_Modal_split!P$4 * 0.01</f>
        <v>921.50507633621442</v>
      </c>
      <c r="AO54" s="213">
        <f>INDEX($A$44:$H$56,MATCH($L54,$B$44:$B$56,0),MATCH($AO$43,$A$44:$H$44,0))*고양시_Modal_split!C$5 * 0.01</f>
        <v>2.4507622735376627E-2</v>
      </c>
      <c r="AP54" s="207">
        <f>INDEX($A$44:$H$56,MATCH($L54,$B$44:$B$56,0),MATCH($AO$43,$A$44:$H$44,0))*고양시_Modal_split!D$5 * 0.01</f>
        <v>29.931976567473328</v>
      </c>
      <c r="AQ54" s="207">
        <f>INDEX($A$44:$H$56,MATCH($L54,$B$44:$B$56,0),MATCH($AO$43,$A$44:$H$44,0))*고양시_Modal_split!E$5 * 0.01</f>
        <v>4.0233347323909969</v>
      </c>
      <c r="AR54" s="207">
        <f>INDEX($A$44:$H$56,MATCH($L54,$B$44:$B$56,0),MATCH($AO$43,$A$44:$H$44,0))*고양시_Modal_split!F$5 * 0.01</f>
        <v>0.85776679573818215</v>
      </c>
      <c r="AS54" s="207">
        <f>INDEX($A$44:$H$56,MATCH($L54,$B$44:$B$56,0),MATCH($AO$43,$A$44:$H$44,0))*고양시_Modal_split!G$5 * 0.01</f>
        <v>0.2654992462999135</v>
      </c>
      <c r="AT54" s="207">
        <f>INDEX($A$44:$H$56,MATCH($L54,$B$44:$B$56,0),MATCH($AO$43,$A$44:$H$44,0))*고양시_Modal_split!H$5 * 0.01</f>
        <v>2.8592226524606065E-2</v>
      </c>
      <c r="AU54" s="207">
        <f>INDEX($A$44:$H$56,MATCH($L54,$B$44:$B$56,0),MATCH($AO$43,$A$44:$H$44,0))*고양시_Modal_split!I$5 * 0.01</f>
        <v>1.1314352496165545</v>
      </c>
      <c r="AV54" s="207">
        <f>INDEX($A$44:$H$56,MATCH($L54,$B$44:$B$56,0),MATCH($AO$43,$A$44:$H$44,0))*고양시_Modal_split!J$5 * 0.01</f>
        <v>2.5610465758468584</v>
      </c>
      <c r="AW54" s="207">
        <f>INDEX($A$44:$H$56,MATCH($L54,$B$44:$B$56,0),MATCH($AO$43,$A$44:$H$44,0))*고양시_Modal_split!K$5 * 0.01</f>
        <v>8.1692075784588775E-3</v>
      </c>
      <c r="AX54" s="207">
        <f>INDEX($A$44:$H$56,MATCH($L54,$B$44:$B$56,0),MATCH($AO$43,$A$44:$H$44,0))*고양시_Modal_split!L$5 * 0.01</f>
        <v>1.0415739662535066</v>
      </c>
      <c r="AY54" s="207">
        <f>INDEX($A$44:$H$56,MATCH($L54,$B$44:$B$56,0),MATCH($AO$43,$A$44:$H$44,0))*고양시_Modal_split!M$5 * 0.01</f>
        <v>0.27366845387837241</v>
      </c>
      <c r="AZ54" s="207">
        <f>INDEX($A$44:$H$56,MATCH($L54,$B$44:$B$56,0),MATCH($AO$43,$A$44:$H$44,0))*고양시_Modal_split!N$5 * 0.01</f>
        <v>6.9438264416900444E-2</v>
      </c>
      <c r="BA54" s="207">
        <f>INDEX($A$44:$H$56,MATCH($L54,$B$44:$B$56,0),MATCH($AO$43,$A$44:$H$44,0))*고양시_Modal_split!O$5 * 0.01</f>
        <v>0.62902898354133352</v>
      </c>
      <c r="BB54" s="214">
        <f>INDEX($A$44:$H$56,MATCH($L54,$B$44:$B$56,0),MATCH($AO$43,$A$44:$H$44,0))*고양시_Modal_split!P$5 * 0.01</f>
        <v>40.846037892294376</v>
      </c>
      <c r="BC54" s="213">
        <f>INDEX($A$44:$H$56,MATCH($L54,$B$44:$B$56,0),MATCH($BC$43,$A$44:$H$44,0))*고양시_Modal_split!C$6 * 0.01</f>
        <v>0</v>
      </c>
      <c r="BD54" s="207">
        <f>INDEX($A$44:$H$56,MATCH($L54,$B$44:$B$56,0),MATCH($BC$43,$A$44:$H$44,0))*고양시_Modal_split!D$6 * 0.01</f>
        <v>9.1727739603007022E-2</v>
      </c>
      <c r="BE54" s="207">
        <f>INDEX($A$44:$H$56,MATCH($L54,$B$44:$B$56,0),MATCH($BC$43,$A$44:$H$44,0))*고양시_Modal_split!E$6 * 0.01</f>
        <v>4.7630634016776989E-4</v>
      </c>
      <c r="BF54" s="207">
        <f>INDEX($A$44:$H$56,MATCH($L54,$B$44:$B$56,0),MATCH($BC$43,$A$44:$H$44,0))*고양시_Modal_split!F$6 * 0.01</f>
        <v>1.3513807790806495E-3</v>
      </c>
      <c r="BG54" s="207">
        <f>INDEX($A$44:$H$56,MATCH($L54,$B$44:$B$56,0),MATCH($BC$43,$A$44:$H$44,0))*고양시_Modal_split!G$6 * 0.01</f>
        <v>0</v>
      </c>
      <c r="BH54" s="207">
        <f>INDEX($A$44:$H$56,MATCH($L54,$B$44:$B$56,0),MATCH($BC$43,$A$44:$H$44,0))*고양시_Modal_split!H$6 * 0.01</f>
        <v>5.8818294564903688E-3</v>
      </c>
      <c r="BI54" s="207">
        <f>INDEX($A$44:$H$56,MATCH($L54,$B$44:$B$56,0),MATCH($BC$43,$A$44:$H$44,0))*고양시_Modal_split!I$6 * 0.01</f>
        <v>3.9212196376602459E-3</v>
      </c>
      <c r="BJ54" s="207">
        <f>INDEX($A$44:$H$56,MATCH($L54,$B$44:$B$56,0),MATCH($BC$43,$A$44:$H$44,0))*고양시_Modal_split!J$6 * 0.01</f>
        <v>5.4719844661134491E-3</v>
      </c>
      <c r="BK54" s="207">
        <f>INDEX($A$44:$H$56,MATCH($L54,$B$44:$B$56,0),MATCH($BC$43,$A$44:$H$44,0))*고양시_Modal_split!K$6 * 0.01</f>
        <v>0</v>
      </c>
      <c r="BL54" s="207">
        <f>INDEX($A$44:$H$56,MATCH($L54,$B$44:$B$56,0),MATCH($BC$43,$A$44:$H$44,0))*고양시_Modal_split!L$6 * 0.01</f>
        <v>8.4184376401745379E-4</v>
      </c>
      <c r="BM54" s="207">
        <f>INDEX($A$44:$H$56,MATCH($L54,$B$44:$B$56,0),MATCH($BC$43,$A$44:$H$44,0))*고양시_Modal_split!M$6 * 0.01</f>
        <v>1.0079971384945828E-3</v>
      </c>
      <c r="BN54" s="207">
        <f>INDEX($A$44:$H$56,MATCH($L54,$B$44:$B$56,0),MATCH($BC$43,$A$44:$H$44,0))*고양시_Modal_split!N$6 * 0.01</f>
        <v>0</v>
      </c>
      <c r="BO54" s="207">
        <f>INDEX($A$44:$H$56,MATCH($L54,$B$44:$B$56,0),MATCH($BC$43,$A$44:$H$44,0))*고양시_Modal_split!O$6 * 0.01</f>
        <v>8.8615133054468828E-5</v>
      </c>
      <c r="BP54" s="214">
        <f>INDEX($A$44:$H$56,MATCH($L54,$B$44:$B$56,0),MATCH($BC$43,$A$44:$H$44,0))*고양시_Modal_split!P$6 * 0.01</f>
        <v>0.11076891631808602</v>
      </c>
      <c r="BQ54" s="213">
        <f>INDEX($A$44:$H$56,MATCH($L54,$B$44:$B$56,0),MATCH($BQ$43,$A$44:$H$44,0))*고양시_Modal_split!C$7 * 0.01</f>
        <v>0</v>
      </c>
      <c r="BR54" s="207">
        <f>INDEX($A$44:$H$56,MATCH($L54,$B$44:$B$56,0),MATCH($BQ$43,$A$44:$H$44,0))*고양시_Modal_split!D$7 * 0.01</f>
        <v>0.19232437710588277</v>
      </c>
      <c r="BS54" s="207">
        <f>INDEX($A$44:$H$56,MATCH($L54,$B$44:$B$56,0),MATCH($BQ$43,$A$44:$H$44,0))*고양시_Modal_split!E$7 * 0.01</f>
        <v>9.3839733607472171E-3</v>
      </c>
      <c r="BT54" s="207">
        <f>INDEX($A$44:$H$56,MATCH($L54,$B$44:$B$56,0),MATCH($BQ$43,$A$44:$H$44,0))*고양시_Modal_split!F$7 * 0.01</f>
        <v>3.1384526290124471E-3</v>
      </c>
      <c r="BU54" s="207">
        <f>INDEX($A$44:$H$56,MATCH($L54,$B$44:$B$56,0),MATCH($BQ$43,$A$44:$H$44,0))*고양시_Modal_split!G$7 * 0.01</f>
        <v>1.3181501041852279E-3</v>
      </c>
      <c r="BV54" s="207">
        <f>INDEX($A$44:$H$56,MATCH($L54,$B$44:$B$56,0),MATCH($BQ$43,$A$44:$H$44,0))*고양시_Modal_split!H$7 * 0.01</f>
        <v>1.7543950196179579E-2</v>
      </c>
      <c r="BW54" s="207">
        <f>INDEX($A$44:$H$56,MATCH($L54,$B$44:$B$56,0),MATCH($BQ$43,$A$44:$H$44,0))*고양시_Modal_split!I$7 * 0.01</f>
        <v>5.8594910583662396E-2</v>
      </c>
      <c r="BX54" s="207">
        <f>INDEX($A$44:$H$56,MATCH($L54,$B$44:$B$56,0),MATCH($BQ$43,$A$44:$H$44,0))*고양시_Modal_split!J$7 * 0.01</f>
        <v>6.2769052580248947E-5</v>
      </c>
      <c r="BY54" s="207">
        <f>INDEX($A$44:$H$56,MATCH($L54,$B$44:$B$56,0),MATCH($BQ$43,$A$44:$H$44,0))*고양시_Modal_split!K$7 * 0.01</f>
        <v>2.4166085243395842E-2</v>
      </c>
      <c r="BZ54" s="207">
        <f>INDEX($A$44:$H$56,MATCH($L54,$B$44:$B$56,0),MATCH($BQ$43,$A$44:$H$44,0))*고양시_Modal_split!L$7 * 0.01</f>
        <v>2.1969168403087127E-4</v>
      </c>
      <c r="CA54" s="207">
        <f>INDEX($A$44:$H$56,MATCH($L54,$B$44:$B$56,0),MATCH($BQ$43,$A$44:$H$44,0))*고양시_Modal_split!M$7 * 0.01</f>
        <v>5.8689064162532768E-3</v>
      </c>
      <c r="CB54" s="207">
        <f>INDEX($A$44:$H$56,MATCH($L54,$B$44:$B$56,0),MATCH($BQ$43,$A$44:$H$44,0))*고양시_Modal_split!N$7 * 0.01</f>
        <v>1.2239965253148543E-3</v>
      </c>
      <c r="CC54" s="207">
        <f>INDEX($A$44:$H$56,MATCH($L54,$B$44:$B$56,0),MATCH($BQ$43,$A$44:$H$44,0))*고양시_Modal_split!O$7 * 0.01</f>
        <v>0</v>
      </c>
      <c r="CD54" s="214">
        <f>INDEX($A$44:$H$56,MATCH($L54,$B$44:$B$56,0),MATCH($BQ$43,$A$44:$H$44,0))*고양시_Modal_split!P$7 * 0.01</f>
        <v>0.3138452629012447</v>
      </c>
      <c r="CE54" s="218">
        <f t="shared" si="24"/>
        <v>280.86246484060712</v>
      </c>
      <c r="CF54" s="208">
        <f t="shared" si="7"/>
        <v>381.47526906681912</v>
      </c>
      <c r="CG54" s="208">
        <f t="shared" si="8"/>
        <v>82.377032917053384</v>
      </c>
      <c r="CH54" s="208">
        <f t="shared" si="9"/>
        <v>20.483397236283555</v>
      </c>
      <c r="CI54" s="208">
        <f t="shared" si="10"/>
        <v>109.26530120193836</v>
      </c>
      <c r="CJ54" s="208">
        <f t="shared" si="11"/>
        <v>6.3868434074705938E-2</v>
      </c>
      <c r="CK54" s="208">
        <f t="shared" si="12"/>
        <v>36.556746991823658</v>
      </c>
      <c r="CL54" s="208">
        <f t="shared" si="13"/>
        <v>82.042172944577956</v>
      </c>
      <c r="CM54" s="208">
        <f t="shared" si="14"/>
        <v>0.21009171128330356</v>
      </c>
      <c r="CN54" s="208">
        <f t="shared" si="15"/>
        <v>47.194999253458505</v>
      </c>
      <c r="CO54" s="208">
        <f t="shared" si="16"/>
        <v>6.727189210526646</v>
      </c>
      <c r="CP54" s="208">
        <f t="shared" si="17"/>
        <v>23.226793448321875</v>
      </c>
      <c r="CQ54" s="208">
        <f t="shared" si="18"/>
        <v>10.794680125259243</v>
      </c>
      <c r="CR54" s="219">
        <f t="shared" si="19"/>
        <v>1081.2800073820274</v>
      </c>
      <c r="CS54" s="225">
        <f t="shared" si="25"/>
        <v>0</v>
      </c>
      <c r="CV54" s="265"/>
      <c r="CW54" s="266" t="s">
        <v>24</v>
      </c>
      <c r="CX54" s="267">
        <f>INDEX($M$43:$Z$56,MATCH($CW54,$L$43:$L$56,0),MATCH(CX$44,$M$44:$Z$44,0))/INDEX(고양시_재차인원!$D$4:$H$35,MATCH("고양시",고양시_재차인원!$B$4:$B$35,0),MATCH('A.일산테크노밸리(859991)_수정'!$CX$43,고양시_재차인원!$D$4:$H$4,0))</f>
        <v>49.761216430011544</v>
      </c>
      <c r="CY54" s="267">
        <f>INDEX($M$43:$Z$56,MATCH($CW54,$L$43:$L$56,0),MATCH(CY$44,$M$44:$Z$44,0))/INDEX(고양시_재차인원!$K$4:$O$20,MATCH("경기도",고양시_재차인원!$K$4:$K$20,0),MATCH('A.일산테크노밸리(859991)_수정'!CY$44,고양시_재차인원!$K$4:$O$4,0))</f>
        <v>4.1161611314449205E-4</v>
      </c>
      <c r="CZ54" s="267">
        <f>INDEX($M$43:$Z$56,MATCH($CW54,$L$43:$L$56,0),MATCH(CZ$44,$M$44:$Z$44,0))/INDEX(고양시_재차인원!$K$4:$O$20,MATCH("경기도",고양시_재차인원!$K$4:$K$20,0),MATCH('A.일산테크노밸리(859991)_수정'!CZ$44,고양시_재차인원!$K$4:$O$4,0))</f>
        <v>0.11442927945416878</v>
      </c>
      <c r="DA54" s="267">
        <f>INDEX($M$43:$Z$56,MATCH($CW54,$L$43:$L$56,0),MATCH(DA$44,$M$44:$Z$44,0))/INDEX(고양시_재차인원!$K$4:$O$20,MATCH("경기도",고양시_재차인원!$K$4:$K$20,0),MATCH('A.일산테크노밸리(859991)_수정'!DA$44,고양시_재차인원!$K$4:$O$4,0))</f>
        <v>2.3858861500158919</v>
      </c>
      <c r="DB54" s="268">
        <f>INDEX($AA$43:$AN$56,MATCH($CW54,$L$43:$L$56,0),MATCH(DB$44,$AA$44:$AN$44,0))/INDEX(고양시_재차인원!$D$4:$H$35,MATCH("고양시",고양시_재차인원!$B$4:$B$35,0),MATCH('A.일산테크노밸리(859991)_수정'!$DB$43,고양시_재차인원!$D$4:$H$4,0))</f>
        <v>209.59338863902411</v>
      </c>
      <c r="DC54" s="267">
        <f>INDEX($AA$43:$AN$56,MATCH($CW54,$L$43:$L$56,0),MATCH(DC$44,$AA$44:$AN$44,0))/INDEX(고양시_재차인원!$K$4:$O$20,MATCH("경기도",고양시_재차인원!$K$4:$K$20,0),MATCH('A.일산테크노밸리(859991)_수정'!DC$44,고양시_재차인원!$K$4:$O$4,0))</f>
        <v>0</v>
      </c>
      <c r="DD54" s="267">
        <f>INDEX($AA$43:$AN$56,MATCH($CW54,$L$43:$L$56,0),MATCH(DD$44,$AA$44:$AN$44,0))/INDEX(고양시_재차인원!$K$4:$O$20,MATCH("경기도",고양시_재차인원!$K$4:$K$20,0),MATCH('A.일산테크노밸리(859991)_수정'!DD$44,고양시_재차인원!$K$4:$O$4,0))</f>
        <v>1.1138720617054625</v>
      </c>
      <c r="DE54" s="267">
        <f>INDEX($AA$43:$AN$56,MATCH($CW54,$L$43:$L$56,0),MATCH(DE$44,$AA$44:$AN$44,0))/INDEX(고양시_재차인원!$K$4:$O$20,MATCH("경기도",고양시_재차인원!$K$4:$K$20,0),MATCH('A.일산테크노밸리(859991)_수정'!DE$44,고양시_재차인원!$K$4:$O$4,0))</f>
        <v>28.382356351155408</v>
      </c>
      <c r="DF54" s="268">
        <f>INDEX($AO$43:$BB$56,MATCH($CW54,$L$43:$L$56,0),MATCH(DF$44,$AO$44:$BB$44,0))/INDEX(고양시_재차인원!$D$4:$H$35,MATCH("고양시",고양시_재차인원!$B$4:$B$35,0),MATCH('A.일산테크노밸리(859991)_수정'!$DF$43,고양시_재차인원!$D$4:$H$4,0))</f>
        <v>23.024597359594868</v>
      </c>
      <c r="DG54" s="267">
        <f>INDEX($AO$43:$BB$56,MATCH($CW54,$L$43:$L$56,0),MATCH(DG$44,$AO$44:$BB$44,0))/INDEX(고양시_재차인원!$K$4:$O$20,MATCH("경기도",고양시_재차인원!$K$4:$K$20,0),MATCH('A.일산테크노밸리(859991)_수정'!DG$44,고양시_재차인원!$K$4:$O$4,0))</f>
        <v>9.9313048018777588E-4</v>
      </c>
      <c r="DH54" s="267">
        <f>INDEX($AO$43:$BB$56,MATCH($CW54,$L$43:$L$56,0),MATCH(DH$44,$AO$44:$BB$44,0))/INDEX(고양시_재차인원!$K$4:$O$20,MATCH("경기도",고양시_재차인원!$K$4:$K$20,0),MATCH('A.일산테크노밸리(859991)_수정'!DH$44,고양시_재차인원!$K$4:$O$4,0))</f>
        <v>3.9299591858859138E-2</v>
      </c>
      <c r="DI54" s="267">
        <f>INDEX($AO$43:$BB$56,MATCH($CW54,$L$43:$L$56,0),MATCH(DI$44,$AO$44:$BB$44,0))/INDEX(고양시_재차인원!$K$4:$O$20,MATCH("경기도",고양시_재차인원!$K$4:$K$20,0),MATCH('A.일산테크노밸리(859991)_수정'!DI$44,고양시_재차인원!$K$4:$O$4,0))</f>
        <v>0.69438264416900441</v>
      </c>
      <c r="DJ54" s="268">
        <f>INDEX($BC$43:$BP$56,MATCH($CW54,$L$43:$L$56,0),MATCH(DJ$44,$BC$44:$BP$44,0))/INDEX(고양시_재차인원!$D$4:$H$35,MATCH("고양시",고양시_재차인원!$B$4:$B$35,0),MATCH('A.일산테크노밸리(859991)_수정'!$DJ$43,고양시_재차인원!$D$4:$H$4,0))</f>
        <v>6.7446867355152221E-2</v>
      </c>
      <c r="DK54" s="267">
        <f>INDEX($BC$43:$BP$56,MATCH($CW54,$L$43:$L$56,0),MATCH(DK$44,$BC$44:$BP$44,0))/INDEX(고양시_재차인원!$K$4:$O$20,MATCH("경기도",고양시_재차인원!$K$4:$K$20,0),MATCH('A.일산테크노밸리(859991)_수정'!DK$44,고양시_재차인원!$K$4:$O$4,0))</f>
        <v>2.0430112735291312E-4</v>
      </c>
      <c r="DL54" s="267">
        <f>INDEX($BC$43:$BP$56,MATCH($CW54,$L$43:$L$56,0),MATCH(DL$44,$BC$44:$BP$44,0))/INDEX(고양시_재차인원!$K$4:$O$20,MATCH("경기도",고양시_재차인원!$K$4:$K$20,0),MATCH('A.일산테크노밸리(859991)_수정'!DL$44,고양시_재차인원!$K$4:$O$4,0))</f>
        <v>1.3620075156860876E-4</v>
      </c>
      <c r="DM54" s="267">
        <f>INDEX($BC$43:$BP$56,MATCH($CW54,$L$43:$L$56,0),MATCH(DM$44,$BC$44:$BP$44,0))/INDEX(고양시_재차인원!$K$4:$O$20,MATCH("경기도",고양시_재차인원!$K$4:$K$20,0),MATCH('A.일산테크노밸리(859991)_수정'!DM$44,고양시_재차인원!$K$4:$O$4,0))</f>
        <v>5.6122917601163582E-4</v>
      </c>
      <c r="DN54" s="268">
        <f>INDEX($BQ$43:$CD$56,MATCH($CW54,$L$43:$L$56,0),MATCH(DN$44,$BQ$44:$CD$44,0))/INDEX(고양시_재차인원!$D$4:$H$35,MATCH("고양시",고양시_재차인원!$B$4:$B$35,0),MATCH('A.일산테크노밸리(859991)_수정'!$DN$43,고양시_재차인원!$D$4:$H$4,0))</f>
        <v>0.15263839452847838</v>
      </c>
      <c r="DO54" s="267">
        <f>INDEX($BQ$43:$CD$56,MATCH($CW54,$L$43:$L$56,0),MATCH(DO$44,$BQ$44:$CD$44,0))/INDEX(고양시_재차인원!$K$4:$O$20,MATCH("경기도",고양시_재차인원!$K$4:$K$20,0),MATCH('A.일산테크노밸리(859991)_수정'!DO$44,고양시_재차인원!$K$4:$O$4,0))</f>
        <v>6.0937652643902672E-4</v>
      </c>
      <c r="DP54" s="267">
        <f>INDEX($BQ$43:$CD$56,MATCH($CW54,$L$43:$L$56,0),MATCH(DP$44,$BQ$44:$CD$44,0))/INDEX(고양시_재차인원!$K$4:$O$20,MATCH("경기도",고양시_재차인원!$K$4:$K$20,0),MATCH('A.일산테크노밸리(859991)_수정'!DP$44,고양시_재차인원!$K$4:$O$4,0))</f>
        <v>2.0352521911657659E-3</v>
      </c>
      <c r="DQ54" s="267">
        <f>INDEX($BQ$43:$CD$56,MATCH($CW54,$L$43:$L$56,0),MATCH(DQ$44,$BQ$44:$CD$44,0))/INDEX(고양시_재차인원!$K$4:$O$20,MATCH("경기도",고양시_재차인원!$K$4:$K$20,0),MATCH('A.일산테크노밸리(859991)_수정'!DQ$44,고양시_재차인원!$K$4:$O$4,0))</f>
        <v>1.4646112268724751E-4</v>
      </c>
      <c r="DR54" s="269">
        <f t="shared" si="26"/>
        <v>282.59928769051413</v>
      </c>
      <c r="DS54" s="270">
        <f t="shared" si="20"/>
        <v>2.2184242471242079E-3</v>
      </c>
      <c r="DT54" s="270">
        <f t="shared" si="21"/>
        <v>1.2697723859612249</v>
      </c>
      <c r="DU54" s="270">
        <f t="shared" si="22"/>
        <v>31.463332835639001</v>
      </c>
      <c r="DW54" s="278"/>
      <c r="DX54" s="278"/>
      <c r="DY54" s="281">
        <f>DR56+DU56</f>
        <v>11817.505680879594</v>
      </c>
      <c r="DZ54" s="281">
        <f>DS56+DT56</f>
        <v>47.862297654145863</v>
      </c>
      <c r="EC54" s="412" t="s">
        <v>15</v>
      </c>
      <c r="ED54" s="412" t="s">
        <v>574</v>
      </c>
      <c r="EE54" s="412">
        <v>10018.5584</v>
      </c>
      <c r="EF54" s="412">
        <v>4.6530094391220855E-2</v>
      </c>
      <c r="EG54" s="413">
        <v>859010</v>
      </c>
      <c r="EH54" s="414">
        <f t="shared" si="29"/>
        <v>377.46010201935457</v>
      </c>
      <c r="EI54" s="415">
        <f t="shared" si="30"/>
        <v>1.5287581189527231</v>
      </c>
      <c r="EJ54" s="402">
        <v>0</v>
      </c>
      <c r="EM54" s="278" t="s">
        <v>15</v>
      </c>
      <c r="EN54" s="278" t="s">
        <v>574</v>
      </c>
      <c r="EO54" s="278">
        <v>10018.5584</v>
      </c>
      <c r="EP54" s="278">
        <v>4.6530094391220855E-2</v>
      </c>
      <c r="EQ54" s="289">
        <v>859010</v>
      </c>
      <c r="ER54" s="290">
        <f t="shared" si="31"/>
        <v>377.46010201935457</v>
      </c>
      <c r="ES54" s="291">
        <f t="shared" si="23"/>
        <v>1.5287581189527231</v>
      </c>
      <c r="ET54" s="402">
        <v>0</v>
      </c>
      <c r="EV54" s="34"/>
      <c r="EW54" s="34"/>
      <c r="EX54" s="34"/>
      <c r="EY54" s="34"/>
      <c r="EZ54" s="378"/>
      <c r="FA54" s="401"/>
      <c r="FB54" s="402"/>
      <c r="FC54" s="402"/>
    </row>
    <row r="55" spans="1:159" ht="16.5" customHeight="1">
      <c r="A55" s="205"/>
      <c r="B55" s="205" t="s">
        <v>145</v>
      </c>
      <c r="C55" s="400">
        <f>'A.일산테크노밸리(859991)_수정'!$P38*KTDB_TripDistribution_2035!L$12 * (1 + KTDB_발생량도착량_증가율!$D$7*5) * (1 + KTDB_발생량도착량_증가율!$E$7*5)</f>
        <v>37.365235533601236</v>
      </c>
      <c r="D55" s="400">
        <f>'A.일산테크노밸리(859991)_수정'!$P38*KTDB_TripDistribution_2035!M$12 * (1 + KTDB_발생량도착량_증가율!$D$7*5) * (1 + KTDB_발생량도착량_증가율!$E$7*5)</f>
        <v>290.55705431682651</v>
      </c>
      <c r="E55" s="400">
        <f>'A.일산테크노밸리(859991)_수정'!$P38*KTDB_TripDistribution_2035!N$12 * (1 + KTDB_발생량도착량_증가율!$D$7*5) * (1 + KTDB_발생량도착량_증가율!$E$7*5)</f>
        <v>12.879044028367797</v>
      </c>
      <c r="F55" s="400">
        <f>'A.일산테크노밸리(859991)_수정'!$P38*KTDB_TripDistribution_2035!O$12 * (1 + KTDB_발생량도착량_증가율!$D$7*5) * (1 + KTDB_발생량도착량_증가율!$E$7*5)</f>
        <v>3.4926221093878634E-2</v>
      </c>
      <c r="G55" s="400">
        <f>'A.일산테크노밸리(859991)_수정'!$P38*KTDB_TripDistribution_2035!P$12 * (1 + KTDB_발생량도착량_증가율!$D$7*5) * (1 + KTDB_발생량도착량_증가율!$E$7*5)</f>
        <v>9.8957626432656445E-2</v>
      </c>
      <c r="H55" s="400">
        <f>'A.일산테크노밸리(859991)_수정'!$P38*KTDB_TripDistribution_2035!Q$12 * (1 + KTDB_발생량도착량_증가율!$D$7*5) * (1 + KTDB_발생량도착량_증가율!$E$7*5)</f>
        <v>340.93521772632209</v>
      </c>
      <c r="J55" s="230">
        <f t="shared" si="6"/>
        <v>340.93521772632209</v>
      </c>
      <c r="K55" s="206"/>
      <c r="L55" s="209" t="s">
        <v>481</v>
      </c>
      <c r="M55" s="213">
        <f>INDEX($A$44:$H$56,MATCH($L55,$B$44:$B$56,0),MATCH($M$43,$A$44:$H$44,0))*고양시_Modal_split!C$3 * 0.01</f>
        <v>0.10462265949408345</v>
      </c>
      <c r="N55" s="207">
        <f>INDEX($A$44:$H$56,MATCH($L55,$B$44:$B$56,0),MATCH($M$43,$A$44:$H$44,0))*고양시_Modal_split!D$3 * 0.01</f>
        <v>17.572870271452661</v>
      </c>
      <c r="O55" s="207">
        <f>INDEX($A$44:$H$56,MATCH($L55,$B$44:$B$56,0),MATCH($M$43,$A$44:$H$44,0))*고양시_Modal_split!E$3 * 0.01</f>
        <v>2.1260819018619102</v>
      </c>
      <c r="P55" s="207">
        <f>INDEX($A$44:$H$56,MATCH($L55,$B$44:$B$56,0),MATCH($M$43,$A$44:$H$44,0))*고양시_Modal_split!F$3 * 0.01</f>
        <v>3.4263920984312337</v>
      </c>
      <c r="Q55" s="207">
        <f>INDEX($A$44:$H$56,MATCH($L55,$B$44:$B$56,0),MATCH($M$43,$A$44:$H$44,0))*고양시_Modal_split!G$3 * 0.01</f>
        <v>0.34376016690913136</v>
      </c>
      <c r="R55" s="207">
        <f>INDEX($A$44:$H$56,MATCH($L55,$B$44:$B$56,0),MATCH($M$43,$A$44:$H$44,0))*고양시_Modal_split!H$3 * 0.01</f>
        <v>3.7365235533601236E-3</v>
      </c>
      <c r="S55" s="207">
        <f>INDEX($A$44:$H$56,MATCH($L55,$B$44:$B$56,0),MATCH($M$43,$A$44:$H$44,0))*고양시_Modal_split!I$3 * 0.01</f>
        <v>1.0387535478341143</v>
      </c>
      <c r="T55" s="207">
        <f>INDEX($A$44:$H$56,MATCH($L55,$B$44:$B$56,0),MATCH($M$43,$A$44:$H$44,0))*고양시_Modal_split!J$3 * 0.01</f>
        <v>11.373977696428216</v>
      </c>
      <c r="U55" s="207">
        <f>INDEX($A$44:$H$56,MATCH($L55,$B$44:$B$56,0),MATCH($M$43,$A$44:$H$44,0))*고양시_Modal_split!K$3 * 0.01</f>
        <v>5.6047853300401851E-2</v>
      </c>
      <c r="V55" s="207">
        <f>INDEX($A$44:$H$56,MATCH($L55,$B$44:$B$56,0),MATCH($M$43,$A$44:$H$44,0))*고양시_Modal_split!L$3 * 0.01</f>
        <v>1.1284301131147574</v>
      </c>
      <c r="W55" s="207">
        <f>INDEX($A$44:$H$56,MATCH($L55,$B$44:$B$56,0),MATCH($M$43,$A$44:$H$44,0))*고양시_Modal_split!M$3 * 0.01</f>
        <v>8.594004172728284E-2</v>
      </c>
      <c r="X55" s="207">
        <f>INDEX($A$44:$H$56,MATCH($L55,$B$44:$B$56,0),MATCH($M$43,$A$44:$H$44,0))*고양시_Modal_split!N$3 * 0.01</f>
        <v>3.7365235533601243E-2</v>
      </c>
      <c r="Y55" s="207">
        <f>INDEX($A$44:$H$56,MATCH($L55,$B$44:$B$56,0),MATCH($M$43,$A$44:$H$44,0))*고양시_Modal_split!O$3 * 0.01</f>
        <v>6.7257423960482218E-2</v>
      </c>
      <c r="Z55" s="214">
        <f>INDEX($A$44:$H$56,MATCH($L55,$B$44:$B$56,0),MATCH($M$43,$A$44:$H$44,0))*고양시_Modal_split!P$3 * 0.01</f>
        <v>37.365235533601236</v>
      </c>
      <c r="AA55" s="213">
        <f>INDEX($A$44:$H$56,MATCH($L55,$B$44:$B$56,0),MATCH($AA$43,$A$44:$H$44,0))*고양시_Modal_split!C$4 * 0.01</f>
        <v>88.445567334041996</v>
      </c>
      <c r="AB55" s="207">
        <f>INDEX($A$44:$H$56,MATCH($L55,$B$44:$B$56,0),MATCH($AA$43,$A$44:$H$44,0))*고양시_Modal_split!D$4 * 0.01</f>
        <v>93.181647319406252</v>
      </c>
      <c r="AC55" s="207">
        <f>INDEX($A$44:$H$56,MATCH($L55,$B$44:$B$56,0),MATCH($AA$43,$A$44:$H$44,0))*고양시_Modal_split!E$4 * 0.01</f>
        <v>22.576283120417422</v>
      </c>
      <c r="AD55" s="207">
        <f>INDEX($A$44:$H$56,MATCH($L55,$B$44:$B$56,0),MATCH($AA$43,$A$44:$H$44,0))*고양시_Modal_split!F$4 * 0.01</f>
        <v>2.7602920160098519</v>
      </c>
      <c r="AE55" s="207">
        <f>INDEX($A$44:$H$56,MATCH($L55,$B$44:$B$56,0),MATCH($AA$43,$A$44:$H$44,0))*고양시_Modal_split!G$4 * 0.01</f>
        <v>34.024231060500384</v>
      </c>
      <c r="AF55" s="207">
        <f>INDEX($A$44:$H$56,MATCH($L55,$B$44:$B$56,0),MATCH($AA$43,$A$44:$H$44,0))*고양시_Modal_split!H$4 * 0.01</f>
        <v>0</v>
      </c>
      <c r="AG55" s="207">
        <f>INDEX($A$44:$H$56,MATCH($L55,$B$44:$B$56,0),MATCH($AA$43,$A$44:$H$44,0))*고양시_Modal_split!I$4 * 0.01</f>
        <v>10.111385490225562</v>
      </c>
      <c r="AH55" s="207">
        <f>INDEX($A$44:$H$56,MATCH($L55,$B$44:$B$56,0),MATCH($AA$43,$A$44:$H$44,0))*고양시_Modal_split!J$4 * 0.01</f>
        <v>13.68523725832253</v>
      </c>
      <c r="AI55" s="207">
        <f>INDEX($A$44:$H$56,MATCH($L55,$B$44:$B$56,0),MATCH($AA$43,$A$44:$H$44,0))*고양시_Modal_split!K$4 * 0.01</f>
        <v>0</v>
      </c>
      <c r="AJ55" s="207">
        <f>INDEX($A$44:$H$56,MATCH($L55,$B$44:$B$56,0),MATCH($AA$43,$A$44:$H$44,0))*고양시_Modal_split!L$4 * 0.01</f>
        <v>13.423735909437385</v>
      </c>
      <c r="AK55" s="207">
        <f>INDEX($A$44:$H$56,MATCH($L55,$B$44:$B$56,0),MATCH($AA$43,$A$44:$H$44,0))*고양시_Modal_split!M$4 * 0.01</f>
        <v>1.9467322639227376</v>
      </c>
      <c r="AL55" s="207">
        <f>INDEX($A$44:$H$56,MATCH($L55,$B$44:$B$56,0),MATCH($AA$43,$A$44:$H$44,0))*고양시_Modal_split!N$4 * 0.01</f>
        <v>7.2639263579206625</v>
      </c>
      <c r="AM55" s="207">
        <f>INDEX($A$44:$H$56,MATCH($L55,$B$44:$B$56,0),MATCH($AA$43,$A$44:$H$44,0))*고양시_Modal_split!O$4 * 0.01</f>
        <v>3.1380161866217264</v>
      </c>
      <c r="AN55" s="214">
        <f>INDEX($A$44:$H$56,MATCH($L55,$B$44:$B$56,0),MATCH($AA$43,$A$44:$H$44,0))*고양시_Modal_split!P$4 * 0.01</f>
        <v>290.55705431682651</v>
      </c>
      <c r="AO55" s="213">
        <f>INDEX($A$44:$H$56,MATCH($L55,$B$44:$B$56,0),MATCH($AO$43,$A$44:$H$44,0))*고양시_Modal_split!C$5 * 0.01</f>
        <v>7.7274264170206783E-3</v>
      </c>
      <c r="AP55" s="207">
        <f>INDEX($A$44:$H$56,MATCH($L55,$B$44:$B$56,0),MATCH($AO$43,$A$44:$H$44,0))*고양시_Modal_split!D$5 * 0.01</f>
        <v>9.4377634639879222</v>
      </c>
      <c r="AQ55" s="207">
        <f>INDEX($A$44:$H$56,MATCH($L55,$B$44:$B$56,0),MATCH($AO$43,$A$44:$H$44,0))*고양시_Modal_split!E$5 * 0.01</f>
        <v>1.268585836794228</v>
      </c>
      <c r="AR55" s="207">
        <f>INDEX($A$44:$H$56,MATCH($L55,$B$44:$B$56,0),MATCH($AO$43,$A$44:$H$44,0))*고양시_Modal_split!F$5 * 0.01</f>
        <v>0.27045992459572377</v>
      </c>
      <c r="AS55" s="207">
        <f>INDEX($A$44:$H$56,MATCH($L55,$B$44:$B$56,0),MATCH($AO$43,$A$44:$H$44,0))*고양시_Modal_split!G$5 * 0.01</f>
        <v>8.3713786184390696E-2</v>
      </c>
      <c r="AT55" s="207">
        <f>INDEX($A$44:$H$56,MATCH($L55,$B$44:$B$56,0),MATCH($AO$43,$A$44:$H$44,0))*고양시_Modal_split!H$5 * 0.01</f>
        <v>9.0153308198574582E-3</v>
      </c>
      <c r="AU55" s="207">
        <f>INDEX($A$44:$H$56,MATCH($L55,$B$44:$B$56,0),MATCH($AO$43,$A$44:$H$44,0))*고양시_Modal_split!I$5 * 0.01</f>
        <v>0.35674951958578804</v>
      </c>
      <c r="AV55" s="207">
        <f>INDEX($A$44:$H$56,MATCH($L55,$B$44:$B$56,0),MATCH($AO$43,$A$44:$H$44,0))*고양시_Modal_split!J$5 * 0.01</f>
        <v>0.80751606057866099</v>
      </c>
      <c r="AW55" s="207">
        <f>INDEX($A$44:$H$56,MATCH($L55,$B$44:$B$56,0),MATCH($AO$43,$A$44:$H$44,0))*고양시_Modal_split!K$5 * 0.01</f>
        <v>2.5758088056735597E-3</v>
      </c>
      <c r="AX55" s="207">
        <f>INDEX($A$44:$H$56,MATCH($L55,$B$44:$B$56,0),MATCH($AO$43,$A$44:$H$44,0))*고양시_Modal_split!L$5 * 0.01</f>
        <v>0.32841562272337882</v>
      </c>
      <c r="AY55" s="207">
        <f>INDEX($A$44:$H$56,MATCH($L55,$B$44:$B$56,0),MATCH($AO$43,$A$44:$H$44,0))*고양시_Modal_split!M$5 * 0.01</f>
        <v>8.6289594990064264E-2</v>
      </c>
      <c r="AZ55" s="207">
        <f>INDEX($A$44:$H$56,MATCH($L55,$B$44:$B$56,0),MATCH($AO$43,$A$44:$H$44,0))*고양시_Modal_split!N$5 * 0.01</f>
        <v>2.1894374848225255E-2</v>
      </c>
      <c r="BA55" s="207">
        <f>INDEX($A$44:$H$56,MATCH($L55,$B$44:$B$56,0),MATCH($AO$43,$A$44:$H$44,0))*고양시_Modal_split!O$5 * 0.01</f>
        <v>0.19833727803686407</v>
      </c>
      <c r="BB55" s="214">
        <f>INDEX($A$44:$H$56,MATCH($L55,$B$44:$B$56,0),MATCH($AO$43,$A$44:$H$44,0))*고양시_Modal_split!P$5 * 0.01</f>
        <v>12.879044028367796</v>
      </c>
      <c r="BC55" s="213">
        <f>INDEX($A$44:$H$56,MATCH($L55,$B$44:$B$56,0),MATCH($BC$43,$A$44:$H$44,0))*고양시_Modal_split!C$6 * 0.01</f>
        <v>0</v>
      </c>
      <c r="BD55" s="207">
        <f>INDEX($A$44:$H$56,MATCH($L55,$B$44:$B$56,0),MATCH($BC$43,$A$44:$H$44,0))*고양시_Modal_split!D$6 * 0.01</f>
        <v>2.8922403687840891E-2</v>
      </c>
      <c r="BE55" s="207">
        <f>INDEX($A$44:$H$56,MATCH($L55,$B$44:$B$56,0),MATCH($BC$43,$A$44:$H$44,0))*고양시_Modal_split!E$6 * 0.01</f>
        <v>1.5018275070367813E-4</v>
      </c>
      <c r="BF55" s="207">
        <f>INDEX($A$44:$H$56,MATCH($L55,$B$44:$B$56,0),MATCH($BC$43,$A$44:$H$44,0))*고양시_Modal_split!F$6 * 0.01</f>
        <v>4.2609989734531935E-4</v>
      </c>
      <c r="BG55" s="207">
        <f>INDEX($A$44:$H$56,MATCH($L55,$B$44:$B$56,0),MATCH($BC$43,$A$44:$H$44,0))*고양시_Modal_split!G$6 * 0.01</f>
        <v>0</v>
      </c>
      <c r="BH55" s="207">
        <f>INDEX($A$44:$H$56,MATCH($L55,$B$44:$B$56,0),MATCH($BC$43,$A$44:$H$44,0))*고양시_Modal_split!H$6 * 0.01</f>
        <v>1.8545823400849557E-3</v>
      </c>
      <c r="BI55" s="207">
        <f>INDEX($A$44:$H$56,MATCH($L55,$B$44:$B$56,0),MATCH($BC$43,$A$44:$H$44,0))*고양시_Modal_split!I$6 * 0.01</f>
        <v>1.2363882267233037E-3</v>
      </c>
      <c r="BJ55" s="207">
        <f>INDEX($A$44:$H$56,MATCH($L55,$B$44:$B$56,0),MATCH($BC$43,$A$44:$H$44,0))*고양시_Modal_split!J$6 * 0.01</f>
        <v>1.7253553220376045E-3</v>
      </c>
      <c r="BK55" s="207">
        <f>INDEX($A$44:$H$56,MATCH($L55,$B$44:$B$56,0),MATCH($BC$43,$A$44:$H$44,0))*고양시_Modal_split!K$6 * 0.01</f>
        <v>0</v>
      </c>
      <c r="BL55" s="207">
        <f>INDEX($A$44:$H$56,MATCH($L55,$B$44:$B$56,0),MATCH($BC$43,$A$44:$H$44,0))*고양시_Modal_split!L$6 * 0.01</f>
        <v>2.6543928031347763E-4</v>
      </c>
      <c r="BM55" s="207">
        <f>INDEX($A$44:$H$56,MATCH($L55,$B$44:$B$56,0),MATCH($BC$43,$A$44:$H$44,0))*고양시_Modal_split!M$6 * 0.01</f>
        <v>3.1782861195429559E-4</v>
      </c>
      <c r="BN55" s="207">
        <f>INDEX($A$44:$H$56,MATCH($L55,$B$44:$B$56,0),MATCH($BC$43,$A$44:$H$44,0))*고양시_Modal_split!N$6 * 0.01</f>
        <v>0</v>
      </c>
      <c r="BO55" s="207">
        <f>INDEX($A$44:$H$56,MATCH($L55,$B$44:$B$56,0),MATCH($BC$43,$A$44:$H$44,0))*고양시_Modal_split!O$6 * 0.01</f>
        <v>2.7940976875102908E-5</v>
      </c>
      <c r="BP55" s="214">
        <f>INDEX($A$44:$H$56,MATCH($L55,$B$44:$B$56,0),MATCH($BC$43,$A$44:$H$44,0))*고양시_Modal_split!P$6 * 0.01</f>
        <v>3.4926221093878634E-2</v>
      </c>
      <c r="BQ55" s="213">
        <f>INDEX($A$44:$H$56,MATCH($L55,$B$44:$B$56,0),MATCH($BQ$43,$A$44:$H$44,0))*고양시_Modal_split!C$7 * 0.01</f>
        <v>0</v>
      </c>
      <c r="BR55" s="207">
        <f>INDEX($A$44:$H$56,MATCH($L55,$B$44:$B$56,0),MATCH($BQ$43,$A$44:$H$44,0))*고양시_Modal_split!D$7 * 0.01</f>
        <v>6.0641233477931877E-2</v>
      </c>
      <c r="BS55" s="207">
        <f>INDEX($A$44:$H$56,MATCH($L55,$B$44:$B$56,0),MATCH($BQ$43,$A$44:$H$44,0))*고양시_Modal_split!E$7 * 0.01</f>
        <v>2.9588330303364275E-3</v>
      </c>
      <c r="BT55" s="207">
        <f>INDEX($A$44:$H$56,MATCH($L55,$B$44:$B$56,0),MATCH($BQ$43,$A$44:$H$44,0))*고양시_Modal_split!F$7 * 0.01</f>
        <v>9.8957626432656437E-4</v>
      </c>
      <c r="BU55" s="207">
        <f>INDEX($A$44:$H$56,MATCH($L55,$B$44:$B$56,0),MATCH($BQ$43,$A$44:$H$44,0))*고양시_Modal_split!G$7 * 0.01</f>
        <v>4.1562203101715704E-4</v>
      </c>
      <c r="BV55" s="207">
        <f>INDEX($A$44:$H$56,MATCH($L55,$B$44:$B$56,0),MATCH($BQ$43,$A$44:$H$44,0))*고양시_Modal_split!H$7 * 0.01</f>
        <v>5.5317313175854959E-3</v>
      </c>
      <c r="BW55" s="207">
        <f>INDEX($A$44:$H$56,MATCH($L55,$B$44:$B$56,0),MATCH($BQ$43,$A$44:$H$44,0))*고양시_Modal_split!I$7 * 0.01</f>
        <v>1.847538885497696E-2</v>
      </c>
      <c r="BX55" s="207">
        <f>INDEX($A$44:$H$56,MATCH($L55,$B$44:$B$56,0),MATCH($BQ$43,$A$44:$H$44,0))*고양시_Modal_split!J$7 * 0.01</f>
        <v>1.9791525286531287E-5</v>
      </c>
      <c r="BY55" s="207">
        <f>INDEX($A$44:$H$56,MATCH($L55,$B$44:$B$56,0),MATCH($BQ$43,$A$44:$H$44,0))*고양시_Modal_split!K$7 * 0.01</f>
        <v>7.6197372353145471E-3</v>
      </c>
      <c r="BZ55" s="207">
        <f>INDEX($A$44:$H$56,MATCH($L55,$B$44:$B$56,0),MATCH($BQ$43,$A$44:$H$44,0))*고양시_Modal_split!L$7 * 0.01</f>
        <v>6.9270338502859497E-5</v>
      </c>
      <c r="CA55" s="207">
        <f>INDEX($A$44:$H$56,MATCH($L55,$B$44:$B$56,0),MATCH($BQ$43,$A$44:$H$44,0))*고양시_Modal_split!M$7 * 0.01</f>
        <v>1.8505076142906758E-3</v>
      </c>
      <c r="CB55" s="207">
        <f>INDEX($A$44:$H$56,MATCH($L55,$B$44:$B$56,0),MATCH($BQ$43,$A$44:$H$44,0))*고양시_Modal_split!N$7 * 0.01</f>
        <v>3.8593474308736014E-4</v>
      </c>
      <c r="CC55" s="207">
        <f>INDEX($A$44:$H$56,MATCH($L55,$B$44:$B$56,0),MATCH($BQ$43,$A$44:$H$44,0))*고양시_Modal_split!O$7 * 0.01</f>
        <v>0</v>
      </c>
      <c r="CD55" s="214">
        <f>INDEX($A$44:$H$56,MATCH($L55,$B$44:$B$56,0),MATCH($BQ$43,$A$44:$H$44,0))*고양시_Modal_split!P$7 * 0.01</f>
        <v>9.8957626432656445E-2</v>
      </c>
      <c r="CE55" s="218">
        <f t="shared" si="24"/>
        <v>88.5579174199531</v>
      </c>
      <c r="CF55" s="208">
        <f t="shared" si="7"/>
        <v>120.28184469201261</v>
      </c>
      <c r="CG55" s="208">
        <f t="shared" si="8"/>
        <v>25.9740598748546</v>
      </c>
      <c r="CH55" s="208">
        <f t="shared" si="9"/>
        <v>6.458559715198481</v>
      </c>
      <c r="CI55" s="208">
        <f t="shared" si="10"/>
        <v>34.452120635624915</v>
      </c>
      <c r="CJ55" s="208">
        <f t="shared" si="11"/>
        <v>2.0138168030888033E-2</v>
      </c>
      <c r="CK55" s="208">
        <f t="shared" si="12"/>
        <v>11.526600334727165</v>
      </c>
      <c r="CL55" s="208">
        <f t="shared" si="13"/>
        <v>25.86847616217673</v>
      </c>
      <c r="CM55" s="208">
        <f t="shared" si="14"/>
        <v>6.6243399341389952E-2</v>
      </c>
      <c r="CN55" s="208">
        <f t="shared" si="15"/>
        <v>14.880916354894339</v>
      </c>
      <c r="CO55" s="208">
        <f t="shared" si="16"/>
        <v>2.1211302368663296</v>
      </c>
      <c r="CP55" s="208">
        <f t="shared" si="17"/>
        <v>7.3235719030455755</v>
      </c>
      <c r="CQ55" s="208">
        <f t="shared" si="18"/>
        <v>3.4036388295959483</v>
      </c>
      <c r="CR55" s="219">
        <f t="shared" si="19"/>
        <v>340.93521772632209</v>
      </c>
      <c r="CS55" s="225">
        <f t="shared" si="25"/>
        <v>0</v>
      </c>
      <c r="CV55" s="265"/>
      <c r="CW55" s="266" t="s">
        <v>481</v>
      </c>
      <c r="CX55" s="267">
        <f>INDEX($M$43:$Z$56,MATCH($CW55,$L$43:$L$56,0),MATCH(CX$44,$M$44:$Z$44,0))/INDEX(고양시_재차인원!$D$4:$H$35,MATCH("고양시",고양시_재차인원!$B$4:$B$35,0),MATCH('A.일산테크노밸리(859991)_수정'!$CX$43,고양시_재차인원!$D$4:$H$4,0))</f>
        <v>15.690062742368447</v>
      </c>
      <c r="CY55" s="267">
        <f>INDEX($M$43:$Z$56,MATCH($CW55,$L$43:$L$56,0),MATCH(CY$44,$M$44:$Z$44,0))/INDEX(고양시_재차인원!$K$4:$O$20,MATCH("경기도",고양시_재차인원!$K$4:$K$20,0),MATCH('A.일산테크노밸리(859991)_수정'!CY$44,고양시_재차인원!$K$4:$O$4,0))</f>
        <v>1.2978546555610017E-4</v>
      </c>
      <c r="CZ55" s="267">
        <f>INDEX($M$43:$Z$56,MATCH($CW55,$L$43:$L$56,0),MATCH(CZ$44,$M$44:$Z$44,0))/INDEX(고양시_재차인원!$K$4:$O$20,MATCH("경기도",고양시_재차인원!$K$4:$K$20,0),MATCH('A.일산테크노밸리(859991)_수정'!CZ$44,고양시_재차인원!$K$4:$O$4,0))</f>
        <v>3.6080359424595844E-2</v>
      </c>
      <c r="DA55" s="267">
        <f>INDEX($M$43:$Z$56,MATCH($CW55,$L$43:$L$56,0),MATCH(DA$44,$M$44:$Z$44,0))/INDEX(고양시_재차인원!$K$4:$O$20,MATCH("경기도",고양시_재차인원!$K$4:$K$20,0),MATCH('A.일산테크노밸리(859991)_수정'!DA$44,고양시_재차인원!$K$4:$O$4,0))</f>
        <v>0.75228674207650492</v>
      </c>
      <c r="DB55" s="268">
        <f>INDEX($AA$43:$AN$56,MATCH($CW55,$L$43:$L$56,0),MATCH(DB$44,$AA$44:$AN$44,0))/INDEX(고양시_재차인원!$D$4:$H$35,MATCH("고양시",고양시_재차인원!$B$4:$B$35,0),MATCH('A.일산테크노밸리(859991)_수정'!$DB$43,고양시_재차인원!$D$4:$H$4,0))</f>
        <v>66.08627469461436</v>
      </c>
      <c r="DC55" s="267">
        <f>INDEX($AA$43:$AN$56,MATCH($CW55,$L$43:$L$56,0),MATCH(DC$44,$AA$44:$AN$44,0))/INDEX(고양시_재차인원!$K$4:$O$20,MATCH("경기도",고양시_재차인원!$K$4:$K$20,0),MATCH('A.일산테크노밸리(859991)_수정'!DC$44,고양시_재차인원!$K$4:$O$4,0))</f>
        <v>0</v>
      </c>
      <c r="DD55" s="267">
        <f>INDEX($AA$43:$AN$56,MATCH($CW55,$L$43:$L$56,0),MATCH(DD$44,$AA$44:$AN$44,0))/INDEX(고양시_재차인원!$K$4:$O$20,MATCH("경기도",고양시_재차인원!$K$4:$K$20,0),MATCH('A.일산테크노밸리(859991)_수정'!DD$44,고양시_재차인원!$K$4:$O$4,0))</f>
        <v>0.35121172248091564</v>
      </c>
      <c r="DE55" s="267">
        <f>INDEX($AA$43:$AN$56,MATCH($CW55,$L$43:$L$56,0),MATCH(DE$44,$AA$44:$AN$44,0))/INDEX(고양시_재차인원!$K$4:$O$20,MATCH("경기도",고양시_재차인원!$K$4:$K$20,0),MATCH('A.일산테크노밸리(859991)_수정'!DE$44,고양시_재차인원!$K$4:$O$4,0))</f>
        <v>8.9491572729582565</v>
      </c>
      <c r="DF55" s="268">
        <f>INDEX($AO$43:$BB$56,MATCH($CW55,$L$43:$L$56,0),MATCH(DF$44,$AO$44:$BB$44,0))/INDEX(고양시_재차인원!$D$4:$H$35,MATCH("고양시",고양시_재차인원!$B$4:$B$35,0),MATCH('A.일산테크노밸리(859991)_수정'!$DF$43,고양시_재차인원!$D$4:$H$4,0))</f>
        <v>7.2598180492214786</v>
      </c>
      <c r="DG55" s="267">
        <f>INDEX($AO$43:$BB$56,MATCH($CW55,$L$43:$L$56,0),MATCH(DG$44,$AO$44:$BB$44,0))/INDEX(고양시_재차인원!$K$4:$O$20,MATCH("경기도",고양시_재차인원!$K$4:$K$20,0),MATCH('A.일산테크노밸리(859991)_수정'!DG$44,고양시_재차인원!$K$4:$O$4,0))</f>
        <v>3.1314104966507323E-4</v>
      </c>
      <c r="DH55" s="267">
        <f>INDEX($AO$43:$BB$56,MATCH($CW55,$L$43:$L$56,0),MATCH(DH$44,$AO$44:$BB$44,0))/INDEX(고양시_재차인원!$K$4:$O$20,MATCH("경기도",고양시_재차인원!$K$4:$K$20,0),MATCH('A.일산테크노밸리(859991)_수정'!DH$44,고양시_재차인원!$K$4:$O$4,0))</f>
        <v>1.2391438679603614E-2</v>
      </c>
      <c r="DI55" s="267">
        <f>INDEX($AO$43:$BB$56,MATCH($CW55,$L$43:$L$56,0),MATCH(DI$44,$AO$44:$BB$44,0))/INDEX(고양시_재차인원!$K$4:$O$20,MATCH("경기도",고양시_재차인원!$K$4:$K$20,0),MATCH('A.일산테크노밸리(859991)_수정'!DI$44,고양시_재차인원!$K$4:$O$4,0))</f>
        <v>0.21894374848225254</v>
      </c>
      <c r="DJ55" s="268">
        <f>INDEX($BC$43:$BP$56,MATCH($CW55,$L$43:$L$56,0),MATCH(DJ$44,$BC$44:$BP$44,0))/INDEX(고양시_재차인원!$D$4:$H$35,MATCH("고양시",고양시_재차인원!$B$4:$B$35,0),MATCH('A.일산테크노밸리(859991)_수정'!$DJ$43,고양시_재차인원!$D$4:$H$4,0))</f>
        <v>2.1266473299883008E-2</v>
      </c>
      <c r="DK55" s="267">
        <f>INDEX($BC$43:$BP$56,MATCH($CW55,$L$43:$L$56,0),MATCH(DK$44,$BC$44:$BP$44,0))/INDEX(고양시_재차인원!$K$4:$O$20,MATCH("경기도",고양시_재차인원!$K$4:$K$20,0),MATCH('A.일산테크노밸리(859991)_수정'!DK$44,고양시_재차인원!$K$4:$O$4,0))</f>
        <v>6.4417587359671957E-5</v>
      </c>
      <c r="DL55" s="267">
        <f>INDEX($BC$43:$BP$56,MATCH($CW55,$L$43:$L$56,0),MATCH(DL$44,$BC$44:$BP$44,0))/INDEX(고양시_재차인원!$K$4:$O$20,MATCH("경기도",고양시_재차인원!$K$4:$K$20,0),MATCH('A.일산테크노밸리(859991)_수정'!DL$44,고양시_재차인원!$K$4:$O$4,0))</f>
        <v>4.2945058239781307E-5</v>
      </c>
      <c r="DM55" s="267">
        <f>INDEX($BC$43:$BP$56,MATCH($CW55,$L$43:$L$56,0),MATCH(DM$44,$BC$44:$BP$44,0))/INDEX(고양시_재차인원!$K$4:$O$20,MATCH("경기도",고양시_재차인원!$K$4:$K$20,0),MATCH('A.일산테크노밸리(859991)_수정'!DM$44,고양시_재차인원!$K$4:$O$4,0))</f>
        <v>1.769595202089851E-4</v>
      </c>
      <c r="DN55" s="268">
        <f>INDEX($BQ$43:$CD$56,MATCH($CW55,$L$43:$L$56,0),MATCH(DN$44,$BQ$44:$CD$44,0))/INDEX(고양시_재차인원!$D$4:$H$35,MATCH("고양시",고양시_재차인원!$B$4:$B$35,0),MATCH('A.일산테크노밸리(859991)_수정'!$DN$43,고양시_재차인원!$D$4:$H$4,0))</f>
        <v>4.8127963077723712E-2</v>
      </c>
      <c r="DO55" s="267">
        <f>INDEX($BQ$43:$CD$56,MATCH($CW55,$L$43:$L$56,0),MATCH(DO$44,$BQ$44:$CD$44,0))/INDEX(고양시_재차인원!$K$4:$O$20,MATCH("경기도",고양시_재차인원!$K$4:$K$20,0),MATCH('A.일산테크노밸리(859991)_수정'!DO$44,고양시_재차인원!$K$4:$O$4,0))</f>
        <v>1.9214071961047224E-4</v>
      </c>
      <c r="DP55" s="267">
        <f>INDEX($BQ$43:$CD$56,MATCH($CW55,$L$43:$L$56,0),MATCH(DP$44,$BQ$44:$CD$44,0))/INDEX(고양시_재차인원!$K$4:$O$20,MATCH("경기도",고양시_재차인원!$K$4:$K$20,0),MATCH('A.일산테크노밸리(859991)_수정'!DP$44,고양시_재차인원!$K$4:$O$4,0))</f>
        <v>6.417293801659243E-4</v>
      </c>
      <c r="DQ55" s="267">
        <f>INDEX($BQ$43:$CD$56,MATCH($CW55,$L$43:$L$56,0),MATCH(DQ$44,$BQ$44:$CD$44,0))/INDEX(고양시_재차인원!$K$4:$O$20,MATCH("경기도",고양시_재차인원!$K$4:$K$20,0),MATCH('A.일산테크노밸리(859991)_수정'!DQ$44,고양시_재차인원!$K$4:$O$4,0))</f>
        <v>4.6180225668572996E-5</v>
      </c>
      <c r="DR55" s="269">
        <f t="shared" si="26"/>
        <v>89.105549922581886</v>
      </c>
      <c r="DS55" s="270">
        <f t="shared" si="20"/>
        <v>6.9948482219131763E-4</v>
      </c>
      <c r="DT55" s="270">
        <f t="shared" si="21"/>
        <v>0.40036819502352083</v>
      </c>
      <c r="DU55" s="270">
        <f t="shared" si="22"/>
        <v>9.920610903262892</v>
      </c>
      <c r="DW55" s="278"/>
      <c r="DX55" s="278"/>
      <c r="DY55" s="281" t="b">
        <f>SUM(DY45:DY53)=DY54</f>
        <v>1</v>
      </c>
      <c r="DZ55" s="281" t="b">
        <f>SUM(DZ45:DZ53)=DZ54</f>
        <v>1</v>
      </c>
      <c r="EC55" s="412" t="s">
        <v>15</v>
      </c>
      <c r="ED55" s="412" t="s">
        <v>84</v>
      </c>
      <c r="EE55" s="412">
        <v>5030.8546999999999</v>
      </c>
      <c r="EF55" s="412">
        <v>2.3365252236241602E-2</v>
      </c>
      <c r="EG55" s="413">
        <v>859011</v>
      </c>
      <c r="EH55" s="414">
        <f t="shared" si="29"/>
        <v>189.54293147670322</v>
      </c>
      <c r="EI55" s="415">
        <f t="shared" si="30"/>
        <v>0.76767132164408669</v>
      </c>
      <c r="EJ55" s="402">
        <v>0</v>
      </c>
      <c r="EM55" s="278" t="s">
        <v>15</v>
      </c>
      <c r="EN55" s="278" t="s">
        <v>84</v>
      </c>
      <c r="EO55" s="278">
        <v>5030.8546999999999</v>
      </c>
      <c r="EP55" s="278">
        <v>2.3365252236241602E-2</v>
      </c>
      <c r="EQ55" s="289">
        <v>859011</v>
      </c>
      <c r="ER55" s="290">
        <f t="shared" si="31"/>
        <v>189.54293147670322</v>
      </c>
      <c r="ES55" s="291">
        <f t="shared" si="23"/>
        <v>0.76767132164408669</v>
      </c>
      <c r="ET55" s="402">
        <v>0</v>
      </c>
      <c r="EV55" s="34"/>
      <c r="EW55" s="34"/>
      <c r="EX55" s="34"/>
      <c r="EY55" s="34"/>
      <c r="EZ55" s="378"/>
      <c r="FA55" s="401"/>
      <c r="FB55" s="402"/>
      <c r="FC55" s="402"/>
    </row>
    <row r="56" spans="1:159" ht="38.25" customHeight="1" thickBot="1">
      <c r="A56" s="205"/>
      <c r="B56" s="205" t="s">
        <v>26</v>
      </c>
      <c r="C56" s="400">
        <f>'A.일산테크노밸리(859991)_수정'!$P39*KTDB_TripDistribution_2035!L$12 * (1 + KTDB_발생량도착량_증가율!$D$7*5) * (1 + KTDB_발생량도착량_증가율!$E$7*5)</f>
        <v>4459.062933504063</v>
      </c>
      <c r="D56" s="400">
        <f>'A.일산테크노밸리(859991)_수정'!$P39*KTDB_TripDistribution_2035!M$12 * (1 + KTDB_발생량도착량_증가율!$D$7*5) * (1 + KTDB_발생량도착량_증가율!$E$7*5)</f>
        <v>34674.268005274309</v>
      </c>
      <c r="E56" s="400">
        <f>'A.일산테크노밸리(859991)_수정'!$P39*KTDB_TripDistribution_2035!N$12 * (1 + KTDB_발생량도착량_증가율!$D$7*5) * (1 + KTDB_발생량도착량_증가율!$E$7*5)</f>
        <v>1536.9491728271942</v>
      </c>
      <c r="F56" s="400">
        <f>'A.일산테크노밸리(859991)_수정'!$P39*KTDB_TripDistribution_2035!O$12 * (1 + KTDB_발생량도착량_증가율!$D$7*5) * (1 + KTDB_발생량도착량_증가율!$E$7*5)</f>
        <v>4.1679977568194939</v>
      </c>
      <c r="G56" s="400">
        <f>'A.일산테크노밸리(859991)_수정'!$P39*KTDB_TripDistribution_2035!P$12 * (1 + KTDB_발생량도착량_증가율!$D$7*5) * (1 + KTDB_발생량도착량_증가율!$E$7*5)</f>
        <v>11.809326977655269</v>
      </c>
      <c r="H56" s="400">
        <f>'A.일산테크노밸리(859991)_수정'!$P39*KTDB_TripDistribution_2035!Q$12 * (1 + KTDB_발생량도착량_증가율!$D$7*5) * (1 + KTDB_발생량도착량_증가율!$E$7*5)</f>
        <v>40686.257436340042</v>
      </c>
      <c r="I56" t="b">
        <f>H56=$P$39</f>
        <v>0</v>
      </c>
      <c r="J56" s="230">
        <f t="shared" si="6"/>
        <v>40686.257436340049</v>
      </c>
      <c r="K56" s="206"/>
      <c r="L56" s="209" t="s">
        <v>26</v>
      </c>
      <c r="M56" s="215">
        <f>INDEX($A$44:$H$56,MATCH($L56,$B$44:$B$56,0),MATCH($M$43,$A$44:$H$44,0))*고양시_Modal_split!C$3 * 0.01</f>
        <v>12.485376213811376</v>
      </c>
      <c r="N56" s="216">
        <f>INDEX($A$44:$H$56,MATCH($L56,$B$44:$B$56,0),MATCH($M$43,$A$44:$H$44,0))*고양시_Modal_split!D$3 * 0.01</f>
        <v>2097.0972976269609</v>
      </c>
      <c r="O56" s="216">
        <f>INDEX($A$44:$H$56,MATCH($L56,$B$44:$B$56,0),MATCH($M$43,$A$44:$H$44,0))*고양시_Modal_split!E$3 * 0.01</f>
        <v>253.72068091638118</v>
      </c>
      <c r="P56" s="216">
        <f>INDEX($A$44:$H$56,MATCH($L56,$B$44:$B$56,0),MATCH($M$43,$A$44:$H$44,0))*고양시_Modal_split!F$3 * 0.01</f>
        <v>408.89607100232257</v>
      </c>
      <c r="Q56" s="216">
        <f>INDEX($A$44:$H$56,MATCH($L56,$B$44:$B$56,0),MATCH($M$43,$A$44:$H$44,0))*고양시_Modal_split!G$3 * 0.01</f>
        <v>41.023378988237376</v>
      </c>
      <c r="R56" s="216">
        <f>INDEX($A$44:$H$56,MATCH($L56,$B$44:$B$56,0),MATCH($M$43,$A$44:$H$44,0))*고양시_Modal_split!H$3 * 0.01</f>
        <v>0.44590629335040632</v>
      </c>
      <c r="S56" s="216">
        <f>INDEX($A$44:$H$56,MATCH($L56,$B$44:$B$56,0),MATCH($M$43,$A$44:$H$44,0))*고양시_Modal_split!I$3 * 0.01</f>
        <v>123.96194955141294</v>
      </c>
      <c r="T56" s="216">
        <f>INDEX($A$44:$H$56,MATCH($L56,$B$44:$B$56,0),MATCH($M$43,$A$44:$H$44,0))*고양시_Modal_split!J$3 * 0.01</f>
        <v>1357.3387569586368</v>
      </c>
      <c r="U56" s="216">
        <f>INDEX($A$44:$H$56,MATCH($L56,$B$44:$B$56,0),MATCH($M$43,$A$44:$H$44,0))*고양시_Modal_split!K$3 * 0.01</f>
        <v>6.6885944002560942</v>
      </c>
      <c r="V56" s="216">
        <f>INDEX($A$44:$H$56,MATCH($L56,$B$44:$B$56,0),MATCH($M$43,$A$44:$H$44,0))*고양시_Modal_split!L$3 * 0.01</f>
        <v>134.6637005918227</v>
      </c>
      <c r="W56" s="216">
        <f>INDEX($A$44:$H$56,MATCH($L56,$B$44:$B$56,0),MATCH($M$43,$A$44:$H$44,0))*고양시_Modal_split!M$3 * 0.01</f>
        <v>10.255844747059344</v>
      </c>
      <c r="X56" s="216">
        <f>INDEX($A$44:$H$56,MATCH($L56,$B$44:$B$56,0),MATCH($M$43,$A$44:$H$44,0))*고양시_Modal_split!N$3 * 0.01</f>
        <v>4.4590629335040637</v>
      </c>
      <c r="Y56" s="216">
        <f>INDEX($A$44:$H$56,MATCH($L56,$B$44:$B$56,0),MATCH($M$43,$A$44:$H$44,0))*고양시_Modal_split!O$3 * 0.01</f>
        <v>8.0263132803073134</v>
      </c>
      <c r="Z56" s="217">
        <f>INDEX($A$44:$H$56,MATCH($L56,$B$44:$B$56,0),MATCH($M$43,$A$44:$H$44,0))*고양시_Modal_split!P$3 * 0.01</f>
        <v>4459.062933504063</v>
      </c>
      <c r="AA56" s="215">
        <f>INDEX($A$44:$H$56,MATCH($L56,$B$44:$B$56,0),MATCH($AA$43,$A$44:$H$44,0))*고양시_Modal_split!C$4 * 0.01</f>
        <v>10554.8471808055</v>
      </c>
      <c r="AB56" s="216">
        <f>INDEX($A$44:$H$56,MATCH($L56,$B$44:$B$56,0),MATCH($AA$43,$A$44:$H$44,0))*고양시_Modal_split!D$4 * 0.01</f>
        <v>11120.037749291472</v>
      </c>
      <c r="AC56" s="216">
        <f>INDEX($A$44:$H$56,MATCH($L56,$B$44:$B$56,0),MATCH($AA$43,$A$44:$H$44,0))*고양시_Modal_split!E$4 * 0.01</f>
        <v>2694.1906240098137</v>
      </c>
      <c r="AD56" s="216">
        <f>INDEX($A$44:$H$56,MATCH($L56,$B$44:$B$56,0),MATCH($AA$43,$A$44:$H$44,0))*고양시_Modal_split!F$4 * 0.01</f>
        <v>329.4055460501059</v>
      </c>
      <c r="AE56" s="216">
        <f>INDEX($A$44:$H$56,MATCH($L56,$B$44:$B$56,0),MATCH($AA$43,$A$44:$H$44,0))*고양시_Modal_split!G$4 * 0.01</f>
        <v>4060.356783417621</v>
      </c>
      <c r="AF56" s="216">
        <f>INDEX($A$44:$H$56,MATCH($L56,$B$44:$B$56,0),MATCH($AA$43,$A$44:$H$44,0))*고양시_Modal_split!H$4 * 0.01</f>
        <v>0</v>
      </c>
      <c r="AG56" s="216">
        <f>INDEX($A$44:$H$56,MATCH($L56,$B$44:$B$56,0),MATCH($AA$43,$A$44:$H$44,0))*고양시_Modal_split!I$4 * 0.01</f>
        <v>1206.6645265835459</v>
      </c>
      <c r="AH56" s="216">
        <f>INDEX($A$44:$H$56,MATCH($L56,$B$44:$B$56,0),MATCH($AA$43,$A$44:$H$44,0))*고양시_Modal_split!J$4 * 0.01</f>
        <v>1633.1580230484199</v>
      </c>
      <c r="AI56" s="216">
        <f>INDEX($A$44:$H$56,MATCH($L56,$B$44:$B$56,0),MATCH($AA$43,$A$44:$H$44,0))*고양시_Modal_split!K$4 * 0.01</f>
        <v>0</v>
      </c>
      <c r="AJ56" s="216">
        <f>INDEX($A$44:$H$56,MATCH($L56,$B$44:$B$56,0),MATCH($AA$43,$A$44:$H$44,0))*고양시_Modal_split!L$4 * 0.01</f>
        <v>1601.9511818436731</v>
      </c>
      <c r="AK56" s="216">
        <f>INDEX($A$44:$H$56,MATCH($L56,$B$44:$B$56,0),MATCH($AA$43,$A$44:$H$44,0))*고양시_Modal_split!M$4 * 0.01</f>
        <v>232.31759563533791</v>
      </c>
      <c r="AL56" s="216">
        <f>INDEX($A$44:$H$56,MATCH($L56,$B$44:$B$56,0),MATCH($AA$43,$A$44:$H$44,0))*고양시_Modal_split!N$4 * 0.01</f>
        <v>866.85670013185768</v>
      </c>
      <c r="AM56" s="216">
        <f>INDEX($A$44:$H$56,MATCH($L56,$B$44:$B$56,0),MATCH($AA$43,$A$44:$H$44,0))*고양시_Modal_split!O$4 * 0.01</f>
        <v>374.48209445696261</v>
      </c>
      <c r="AN56" s="217">
        <f>INDEX($A$44:$H$56,MATCH($L56,$B$44:$B$56,0),MATCH($AA$43,$A$44:$H$44,0))*고양시_Modal_split!P$4 * 0.01</f>
        <v>34674.268005274309</v>
      </c>
      <c r="AO56" s="215">
        <f>INDEX($A$44:$H$56,MATCH($L56,$B$44:$B$56,0),MATCH($AO$43,$A$44:$H$44,0))*고양시_Modal_split!C$5 * 0.01</f>
        <v>0.92216950369631645</v>
      </c>
      <c r="AP56" s="216">
        <f>INDEX($A$44:$H$56,MATCH($L56,$B$44:$B$56,0),MATCH($AO$43,$A$44:$H$44,0))*고양시_Modal_split!D$5 * 0.01</f>
        <v>1126.276353847768</v>
      </c>
      <c r="AQ56" s="216">
        <f>INDEX($A$44:$H$56,MATCH($L56,$B$44:$B$56,0),MATCH($AO$43,$A$44:$H$44,0))*고양시_Modal_split!E$5 * 0.01</f>
        <v>151.38949352347862</v>
      </c>
      <c r="AR56" s="216">
        <f>INDEX($A$44:$H$56,MATCH($L56,$B$44:$B$56,0),MATCH($AO$43,$A$44:$H$44,0))*고양시_Modal_split!F$5 * 0.01</f>
        <v>32.275932629371077</v>
      </c>
      <c r="AS56" s="216">
        <f>INDEX($A$44:$H$56,MATCH($L56,$B$44:$B$56,0),MATCH($AO$43,$A$44:$H$44,0))*고양시_Modal_split!G$5 * 0.01</f>
        <v>9.9901696233767616</v>
      </c>
      <c r="AT56" s="216">
        <f>INDEX($A$44:$H$56,MATCH($L56,$B$44:$B$56,0),MATCH($AO$43,$A$44:$H$44,0))*고양시_Modal_split!H$5 * 0.01</f>
        <v>1.0758644209790358</v>
      </c>
      <c r="AU56" s="216">
        <f>INDEX($A$44:$H$56,MATCH($L56,$B$44:$B$56,0),MATCH($AO$43,$A$44:$H$44,0))*고양시_Modal_split!I$5 * 0.01</f>
        <v>42.573492087313284</v>
      </c>
      <c r="AV56" s="216">
        <f>INDEX($A$44:$H$56,MATCH($L56,$B$44:$B$56,0),MATCH($AO$43,$A$44:$H$44,0))*고양시_Modal_split!J$5 * 0.01</f>
        <v>96.366713136265076</v>
      </c>
      <c r="AW56" s="216">
        <f>INDEX($A$44:$H$56,MATCH($L56,$B$44:$B$56,0),MATCH($AO$43,$A$44:$H$44,0))*고양시_Modal_split!K$5 * 0.01</f>
        <v>0.30738983456543884</v>
      </c>
      <c r="AX56" s="216">
        <f>INDEX($A$44:$H$56,MATCH($L56,$B$44:$B$56,0),MATCH($AO$43,$A$44:$H$44,0))*고양시_Modal_split!L$5 * 0.01</f>
        <v>39.19220390709345</v>
      </c>
      <c r="AY56" s="216">
        <f>INDEX($A$44:$H$56,MATCH($L56,$B$44:$B$56,0),MATCH($AO$43,$A$44:$H$44,0))*고양시_Modal_split!M$5 * 0.01</f>
        <v>10.297559457942203</v>
      </c>
      <c r="AZ56" s="216">
        <f>INDEX($A$44:$H$56,MATCH($L56,$B$44:$B$56,0),MATCH($AO$43,$A$44:$H$44,0))*고양시_Modal_split!N$5 * 0.01</f>
        <v>2.6128135938062296</v>
      </c>
      <c r="BA56" s="216">
        <f>INDEX($A$44:$H$56,MATCH($L56,$B$44:$B$56,0),MATCH($AO$43,$A$44:$H$44,0))*고양시_Modal_split!O$5 * 0.01</f>
        <v>23.669017261538794</v>
      </c>
      <c r="BB56" s="217">
        <f>INDEX($A$44:$H$56,MATCH($L56,$B$44:$B$56,0),MATCH($AO$43,$A$44:$H$44,0))*고양시_Modal_split!P$5 * 0.01</f>
        <v>1536.9491728271939</v>
      </c>
      <c r="BC56" s="215">
        <f>INDEX($A$44:$H$56,MATCH($L56,$B$44:$B$56,0),MATCH($BC$43,$A$44:$H$44,0))*고양시_Modal_split!C$6 * 0.01</f>
        <v>0</v>
      </c>
      <c r="BD56" s="216">
        <f>INDEX($A$44:$H$56,MATCH($L56,$B$44:$B$56,0),MATCH($BC$43,$A$44:$H$44,0))*고양시_Modal_split!D$6 * 0.01</f>
        <v>3.4515189424222221</v>
      </c>
      <c r="BE56" s="216">
        <f>INDEX($A$44:$H$56,MATCH($L56,$B$44:$B$56,0),MATCH($BC$43,$A$44:$H$44,0))*고양시_Modal_split!E$6 * 0.01</f>
        <v>1.7922390354323824E-2</v>
      </c>
      <c r="BF56" s="216">
        <f>INDEX($A$44:$H$56,MATCH($L56,$B$44:$B$56,0),MATCH($BC$43,$A$44:$H$44,0))*고양시_Modal_split!F$6 * 0.01</f>
        <v>5.0849572633197823E-2</v>
      </c>
      <c r="BG56" s="216">
        <f>INDEX($A$44:$H$56,MATCH($L56,$B$44:$B$56,0),MATCH($BC$43,$A$44:$H$44,0))*고양시_Modal_split!G$6 * 0.01</f>
        <v>0</v>
      </c>
      <c r="BH56" s="216">
        <f>INDEX($A$44:$H$56,MATCH($L56,$B$44:$B$56,0),MATCH($BC$43,$A$44:$H$44,0))*고양시_Modal_split!H$6 * 0.01</f>
        <v>0.22132068088711512</v>
      </c>
      <c r="BI56" s="216">
        <f>INDEX($A$44:$H$56,MATCH($L56,$B$44:$B$56,0),MATCH($BC$43,$A$44:$H$44,0))*고양시_Modal_split!I$6 * 0.01</f>
        <v>0.14754712059141009</v>
      </c>
      <c r="BJ56" s="216">
        <f>INDEX($A$44:$H$56,MATCH($L56,$B$44:$B$56,0),MATCH($BC$43,$A$44:$H$44,0))*고양시_Modal_split!J$6 * 0.01</f>
        <v>0.20589908918688299</v>
      </c>
      <c r="BK56" s="216">
        <f>INDEX($A$44:$H$56,MATCH($L56,$B$44:$B$56,0),MATCH($BC$43,$A$44:$H$44,0))*고양시_Modal_split!K$6 * 0.01</f>
        <v>0</v>
      </c>
      <c r="BL56" s="216">
        <f>INDEX($A$44:$H$56,MATCH($L56,$B$44:$B$56,0),MATCH($BC$43,$A$44:$H$44,0))*고양시_Modal_split!L$6 * 0.01</f>
        <v>3.1676782951828159E-2</v>
      </c>
      <c r="BM56" s="216">
        <f>INDEX($A$44:$H$56,MATCH($L56,$B$44:$B$56,0),MATCH($BC$43,$A$44:$H$44,0))*고양시_Modal_split!M$6 * 0.01</f>
        <v>3.7928779587057398E-2</v>
      </c>
      <c r="BN56" s="216">
        <f>INDEX($A$44:$H$56,MATCH($L56,$B$44:$B$56,0),MATCH($BC$43,$A$44:$H$44,0))*고양시_Modal_split!N$6 * 0.01</f>
        <v>0</v>
      </c>
      <c r="BO56" s="216">
        <f>INDEX($A$44:$H$56,MATCH($L56,$B$44:$B$56,0),MATCH($BC$43,$A$44:$H$44,0))*고양시_Modal_split!O$6 * 0.01</f>
        <v>3.3343982054555954E-3</v>
      </c>
      <c r="BP56" s="217">
        <f>INDEX($A$44:$H$56,MATCH($L56,$B$44:$B$56,0),MATCH($BC$43,$A$44:$H$44,0))*고양시_Modal_split!P$6 * 0.01</f>
        <v>4.1679977568194939</v>
      </c>
      <c r="BQ56" s="215">
        <f>INDEX($A$44:$H$56,MATCH($L56,$B$44:$B$56,0),MATCH($BQ$43,$A$44:$H$44,0))*고양시_Modal_split!C$7 * 0.01</f>
        <v>0</v>
      </c>
      <c r="BR56" s="216">
        <f>INDEX($A$44:$H$56,MATCH($L56,$B$44:$B$56,0),MATCH($BQ$43,$A$44:$H$44,0))*고양시_Modal_split!D$7 * 0.01</f>
        <v>7.2367555719071497</v>
      </c>
      <c r="BS56" s="216">
        <f>INDEX($A$44:$H$56,MATCH($L56,$B$44:$B$56,0),MATCH($BQ$43,$A$44:$H$44,0))*고양시_Modal_split!E$7 * 0.01</f>
        <v>0.35309887663189249</v>
      </c>
      <c r="BT56" s="216">
        <f>INDEX($A$44:$H$56,MATCH($L56,$B$44:$B$56,0),MATCH($BQ$43,$A$44:$H$44,0))*고양시_Modal_split!F$7 * 0.01</f>
        <v>0.1180932697765527</v>
      </c>
      <c r="BU56" s="216">
        <f>INDEX($A$44:$H$56,MATCH($L56,$B$44:$B$56,0),MATCH($BQ$43,$A$44:$H$44,0))*고양시_Modal_split!G$7 * 0.01</f>
        <v>4.9599173306152128E-2</v>
      </c>
      <c r="BV56" s="216">
        <f>INDEX($A$44:$H$56,MATCH($L56,$B$44:$B$56,0),MATCH($BQ$43,$A$44:$H$44,0))*고양시_Modal_split!H$7 * 0.01</f>
        <v>0.66014137805092954</v>
      </c>
      <c r="BW56" s="216">
        <f>INDEX($A$44:$H$56,MATCH($L56,$B$44:$B$56,0),MATCH($BQ$43,$A$44:$H$44,0))*고양시_Modal_split!I$7 * 0.01</f>
        <v>2.2048013467282392</v>
      </c>
      <c r="BX56" s="216">
        <f>INDEX($A$44:$H$56,MATCH($L56,$B$44:$B$56,0),MATCH($BQ$43,$A$44:$H$44,0))*고양시_Modal_split!J$7 * 0.01</f>
        <v>2.361865395531054E-3</v>
      </c>
      <c r="BY56" s="216">
        <f>INDEX($A$44:$H$56,MATCH($L56,$B$44:$B$56,0),MATCH($BQ$43,$A$44:$H$44,0))*고양시_Modal_split!K$7 * 0.01</f>
        <v>0.90931817727945574</v>
      </c>
      <c r="BZ56" s="216">
        <f>INDEX($A$44:$H$56,MATCH($L56,$B$44:$B$56,0),MATCH($BQ$43,$A$44:$H$44,0))*고양시_Modal_split!L$7 * 0.01</f>
        <v>8.2665288843586874E-3</v>
      </c>
      <c r="CA56" s="216">
        <f>INDEX($A$44:$H$56,MATCH($L56,$B$44:$B$56,0),MATCH($BQ$43,$A$44:$H$44,0))*고양시_Modal_split!M$7 * 0.01</f>
        <v>0.22083441448215355</v>
      </c>
      <c r="CB56" s="216">
        <f>INDEX($A$44:$H$56,MATCH($L56,$B$44:$B$56,0),MATCH($BQ$43,$A$44:$H$44,0))*고양시_Modal_split!N$7 * 0.01</f>
        <v>4.6056375212855542E-2</v>
      </c>
      <c r="CC56" s="216">
        <f>INDEX($A$44:$H$56,MATCH($L56,$B$44:$B$56,0),MATCH($BQ$43,$A$44:$H$44,0))*고양시_Modal_split!O$7 * 0.01</f>
        <v>0</v>
      </c>
      <c r="CD56" s="217">
        <f>INDEX($A$44:$H$56,MATCH($L56,$B$44:$B$56,0),MATCH($BQ$43,$A$44:$H$44,0))*고양시_Modal_split!P$7 * 0.01</f>
        <v>11.809326977655269</v>
      </c>
      <c r="CE56" s="220">
        <f t="shared" si="24"/>
        <v>10568.254726523008</v>
      </c>
      <c r="CF56" s="221">
        <f t="shared" si="7"/>
        <v>14354.099675280529</v>
      </c>
      <c r="CG56" s="221">
        <f t="shared" si="8"/>
        <v>3099.6718197166597</v>
      </c>
      <c r="CH56" s="221">
        <f t="shared" si="9"/>
        <v>770.7464925242092</v>
      </c>
      <c r="CI56" s="221">
        <f t="shared" si="10"/>
        <v>4111.4199312025412</v>
      </c>
      <c r="CJ56" s="221">
        <f t="shared" si="11"/>
        <v>2.4032327732674865</v>
      </c>
      <c r="CK56" s="221">
        <f t="shared" si="12"/>
        <v>1375.5523166895919</v>
      </c>
      <c r="CL56" s="221">
        <f t="shared" si="13"/>
        <v>3087.071754097904</v>
      </c>
      <c r="CM56" s="221">
        <f t="shared" si="14"/>
        <v>7.9053024121009887</v>
      </c>
      <c r="CN56" s="221">
        <f t="shared" si="15"/>
        <v>1775.8470296544256</v>
      </c>
      <c r="CO56" s="221">
        <f t="shared" si="16"/>
        <v>253.12976303440865</v>
      </c>
      <c r="CP56" s="221">
        <f t="shared" si="17"/>
        <v>873.97463303438076</v>
      </c>
      <c r="CQ56" s="221">
        <f t="shared" si="18"/>
        <v>406.18075939701419</v>
      </c>
      <c r="CR56" s="222">
        <f t="shared" si="19"/>
        <v>40686.257436340049</v>
      </c>
      <c r="CS56" s="225">
        <f t="shared" si="25"/>
        <v>0</v>
      </c>
      <c r="CV56" s="265"/>
      <c r="CW56" s="266" t="s">
        <v>26</v>
      </c>
      <c r="CX56" s="267">
        <f>INDEX($M$43:$Z$56,MATCH($CW56,$L$43:$L$56,0),MATCH(CX$44,$M$44:$Z$44,0))/INDEX(고양시_재차인원!$D$4:$H$35,MATCH("고양시",고양시_재차인원!$B$4:$B$35,0),MATCH('A.일산테크노밸리(859991)_수정'!$CX$43,고양시_재차인원!$D$4:$H$4,0))</f>
        <v>1872.4083014526434</v>
      </c>
      <c r="CY56" s="267">
        <f>INDEX($M$43:$Z$56,MATCH($CW56,$L$43:$L$56,0),MATCH(CY$44,$M$44:$Z$44,0))/INDEX(고양시_재차인원!$K$4:$O$20,MATCH("경기도",고양시_재차인원!$K$4:$K$20,0),MATCH('A.일산테크노밸리(859991)_수정'!CY$44,고양시_재차인원!$K$4:$O$4,0))</f>
        <v>1.5488235267468091E-2</v>
      </c>
      <c r="CZ56" s="267">
        <f>INDEX($M$43:$Z$56,MATCH($CW56,$L$43:$L$56,0),MATCH(CZ$44,$M$44:$Z$44,0))/INDEX(고양시_재차인원!$K$4:$O$20,MATCH("경기도",고양시_재차인원!$K$4:$K$20,0),MATCH('A.일산테크노밸리(859991)_수정'!CZ$44,고양시_재차인원!$K$4:$O$4,0))</f>
        <v>4.3057294043561285</v>
      </c>
      <c r="DA56" s="267">
        <f>INDEX($M$43:$Z$56,MATCH($CW56,$L$43:$L$56,0),MATCH(DA$44,$M$44:$Z$44,0))/INDEX(고양시_재차인원!$K$4:$O$20,MATCH("경기도",고양시_재차인원!$K$4:$K$20,0),MATCH('A.일산테크노밸리(859991)_수정'!DA$44,고양시_재차인원!$K$4:$O$4,0))</f>
        <v>89.775800394548469</v>
      </c>
      <c r="DB56" s="272">
        <f>INDEX($AA$43:$AN$56,MATCH($CW56,$L$43:$L$56,0),MATCH(DB$44,$AA$44:$AN$44,0))/INDEX(고양시_재차인원!$D$4:$H$35,MATCH("고양시",고양시_재차인원!$B$4:$B$35,0),MATCH('A.일산테크노밸리(859991)_수정'!$DB$43,고양시_재차인원!$D$4:$H$4,0))</f>
        <v>7886.5515952421792</v>
      </c>
      <c r="DC56" s="273">
        <f>INDEX($AA$43:$AN$56,MATCH($CW56,$L$43:$L$56,0),MATCH(DC$44,$AA$44:$AN$44,0))/INDEX(고양시_재차인원!$K$4:$O$20,MATCH("경기도",고양시_재차인원!$K$4:$K$20,0),MATCH('A.일산테크노밸리(859991)_수정'!DC$44,고양시_재차인원!$K$4:$O$4,0))</f>
        <v>0</v>
      </c>
      <c r="DD56" s="273">
        <f>INDEX($AA$43:$AN$56,MATCH($CW56,$L$43:$L$56,0),MATCH(DD$44,$AA$44:$AN$44,0))/INDEX(고양시_재차인원!$K$4:$O$20,MATCH("경기도",고양시_재차인원!$K$4:$K$20,0),MATCH('A.일산테크노밸리(859991)_수정'!DD$44,고양시_재차인원!$K$4:$O$4,0))</f>
        <v>41.91262683513532</v>
      </c>
      <c r="DE56" s="273">
        <f>INDEX($AA$43:$AN$56,MATCH($CW56,$L$43:$L$56,0),MATCH(DE$44,$AA$44:$AN$44,0))/INDEX(고양시_재차인원!$K$4:$O$20,MATCH("경기도",고양시_재차인원!$K$4:$K$20,0),MATCH('A.일산테크노밸리(859991)_수정'!DE$44,고양시_재차인원!$K$4:$O$4,0))</f>
        <v>1067.9674545624487</v>
      </c>
      <c r="DF56" s="272">
        <f>INDEX($AO$43:$BB$56,MATCH($CW56,$L$43:$L$56,0),MATCH(DF$44,$AO$44:$BB$44,0))/INDEX(고양시_재차인원!$D$4:$H$35,MATCH("고양시",고양시_재차인원!$B$4:$B$35,0),MATCH('A.일산테크노밸리(859991)_수정'!$DF$43,고양시_재차인원!$D$4:$H$4,0))</f>
        <v>866.36642603674454</v>
      </c>
      <c r="DG56" s="273">
        <f>INDEX($AO$43:$BB$56,MATCH($CW56,$L$43:$L$56,0),MATCH(DG$44,$AO$44:$BB$44,0))/INDEX(고양시_재차인원!$K$4:$O$20,MATCH("경기도",고양시_재차인원!$K$4:$K$20,0),MATCH('A.일산테크노밸리(859991)_수정'!DG$44,고양시_재차인원!$K$4:$O$4,0))</f>
        <v>3.7369378985030767E-2</v>
      </c>
      <c r="DH56" s="273">
        <f>INDEX($AO$43:$BB$56,MATCH($CW56,$L$43:$L$56,0),MATCH(DH$44,$AO$44:$BB$44,0))/INDEX(고양시_재차인원!$K$4:$O$20,MATCH("경기도",고양시_재차인원!$K$4:$K$20,0),MATCH('A.일산테크노밸리(859991)_수정'!DH$44,고양시_재차인원!$K$4:$O$4,0))</f>
        <v>1.4787597112647892</v>
      </c>
      <c r="DI56" s="273">
        <f>INDEX($AO$43:$BB$56,MATCH($CW56,$L$43:$L$56,0),MATCH(DI$44,$AO$44:$BB$44,0))/INDEX(고양시_재차인원!$K$4:$O$20,MATCH("경기도",고양시_재차인원!$K$4:$K$20,0),MATCH('A.일산테크노밸리(859991)_수정'!DI$44,고양시_재차인원!$K$4:$O$4,0))</f>
        <v>26.1281359380623</v>
      </c>
      <c r="DJ56" s="272">
        <f>INDEX($BC$43:$BP$56,MATCH($CW56,$L$43:$L$56,0),MATCH(DJ$44,$BC$44:$BP$44,0))/INDEX(고양시_재차인원!$D$4:$H$35,MATCH("고양시",고양시_재차인원!$B$4:$B$35,0),MATCH('A.일산테크노밸리(859991)_수정'!$DJ$43,고양시_재차인원!$D$4:$H$4,0))</f>
        <v>2.5378815753104571</v>
      </c>
      <c r="DK56" s="273">
        <f>INDEX($BC$43:$BP$56,MATCH($CW56,$L$43:$L$56,0),MATCH(DK$44,$BC$44:$BP$44,0))/INDEX(고양시_재차인원!$K$4:$O$20,MATCH("경기도",고양시_재차인원!$K$4:$K$20,0),MATCH('A.일산테크노밸리(859991)_수정'!DK$44,고양시_재차인원!$K$4:$O$4,0))</f>
        <v>7.6874151054920157E-3</v>
      </c>
      <c r="DL56" s="273">
        <f>INDEX($BC$43:$BP$56,MATCH($CW56,$L$43:$L$56,0),MATCH(DL$44,$BC$44:$BP$44,0))/INDEX(고양시_재차인원!$K$4:$O$20,MATCH("경기도",고양시_재차인원!$K$4:$K$20,0),MATCH('A.일산테크노밸리(859991)_수정'!DL$44,고양시_재차인원!$K$4:$O$4,0))</f>
        <v>5.1249434036613438E-3</v>
      </c>
      <c r="DM56" s="273">
        <f>INDEX($BC$43:$BP$56,MATCH($CW56,$L$43:$L$56,0),MATCH(DM$44,$BC$44:$BP$44,0))/INDEX(고양시_재차인원!$K$4:$O$20,MATCH("경기도",고양시_재차인원!$K$4:$K$20,0),MATCH('A.일산테크노밸리(859991)_수정'!DM$44,고양시_재차인원!$K$4:$O$4,0))</f>
        <v>2.1117855301218773E-2</v>
      </c>
      <c r="DN56" s="272">
        <f>INDEX($BQ$43:$CD$56,MATCH($CW56,$L$43:$L$56,0),MATCH(DN$44,$BQ$44:$CD$44,0))/INDEX(고양시_재차인원!$D$4:$H$35,MATCH("고양시",고양시_재차인원!$B$4:$B$35,0),MATCH('A.일산테크노밸리(859991)_수정'!$DN$43,고양시_재차인원!$D$4:$H$4,0))</f>
        <v>5.7434568031009121</v>
      </c>
      <c r="DO56" s="273">
        <f>INDEX($BQ$43:$CD$56,MATCH($CW56,$L$43:$L$56,0),MATCH(DO$44,$BQ$44:$CD$44,0))/INDEX(고양시_재차인원!$K$4:$O$20,MATCH("경기도",고양시_재차인원!$K$4:$K$20,0),MATCH('A.일산테크노밸리(859991)_수정'!DO$44,고양시_재차인원!$K$4:$O$4,0))</f>
        <v>2.2929537271654379E-2</v>
      </c>
      <c r="DP56" s="273">
        <f>INDEX($BQ$43:$CD$56,MATCH($CW56,$L$43:$L$56,0),MATCH(DP$44,$BQ$44:$CD$44,0))/INDEX(고양시_재차인원!$K$4:$O$20,MATCH("경기도",고양시_재차인원!$K$4:$K$20,0),MATCH('A.일산테크노밸리(859991)_수정'!DP$44,고양시_재차인원!$K$4:$O$4,0))</f>
        <v>7.6582193356312583E-2</v>
      </c>
      <c r="DQ56" s="273">
        <f>INDEX($BQ$43:$CD$56,MATCH($CW56,$L$43:$L$56,0),MATCH(DQ$44,$BQ$44:$CD$44,0))/INDEX(고양시_재차인원!$K$4:$O$20,MATCH("경기도",고양시_재차인원!$K$4:$K$20,0),MATCH('A.일산테크노밸리(859991)_수정'!DQ$44,고양시_재차인원!$K$4:$O$4,0))</f>
        <v>5.5110192562391252E-3</v>
      </c>
      <c r="DR56" s="274">
        <f t="shared" si="26"/>
        <v>10633.607661109978</v>
      </c>
      <c r="DS56" s="275">
        <f t="shared" si="20"/>
        <v>8.3474566629645253E-2</v>
      </c>
      <c r="DT56" s="275">
        <f t="shared" si="21"/>
        <v>47.778823087516216</v>
      </c>
      <c r="DU56" s="275">
        <f t="shared" si="22"/>
        <v>1183.8980197696171</v>
      </c>
      <c r="EC56" s="412" t="s">
        <v>15</v>
      </c>
      <c r="ED56" s="412" t="s">
        <v>89</v>
      </c>
      <c r="EE56" s="412">
        <v>6744.6391999999996</v>
      </c>
      <c r="EF56" s="412">
        <v>3.132473616271262E-2</v>
      </c>
      <c r="EG56" s="413">
        <v>859012</v>
      </c>
      <c r="EH56" s="414">
        <f t="shared" si="29"/>
        <v>254.11162952503602</v>
      </c>
      <c r="EI56" s="415">
        <f t="shared" si="30"/>
        <v>1.0291821961537697</v>
      </c>
      <c r="EJ56" s="402">
        <v>0</v>
      </c>
      <c r="EM56" s="278" t="s">
        <v>15</v>
      </c>
      <c r="EN56" s="278" t="s">
        <v>89</v>
      </c>
      <c r="EO56" s="278">
        <v>6744.6391999999996</v>
      </c>
      <c r="EP56" s="278">
        <v>3.132473616271262E-2</v>
      </c>
      <c r="EQ56" s="289">
        <v>859012</v>
      </c>
      <c r="ER56" s="290">
        <f t="shared" si="31"/>
        <v>254.11162952503602</v>
      </c>
      <c r="ES56" s="291">
        <f t="shared" si="23"/>
        <v>1.0291821961537697</v>
      </c>
      <c r="ET56" s="402">
        <v>0</v>
      </c>
      <c r="EV56" s="34"/>
      <c r="EW56" s="34"/>
      <c r="EX56" s="34"/>
      <c r="EY56" s="34"/>
      <c r="EZ56" s="378"/>
      <c r="FA56" s="401"/>
      <c r="FB56" s="402"/>
      <c r="FC56" s="402"/>
    </row>
    <row r="57" spans="1:159" ht="17" customHeight="1">
      <c r="D57">
        <f>D56/H56</f>
        <v>0.85223537848197461</v>
      </c>
      <c r="E57">
        <f>E56/H56</f>
        <v>3.7775634075756154E-2</v>
      </c>
      <c r="R57">
        <f>R56/Z56</f>
        <v>1E-4</v>
      </c>
      <c r="S57">
        <f>S56/Z56</f>
        <v>2.7799999999999998E-2</v>
      </c>
      <c r="EC57" s="412" t="s">
        <v>15</v>
      </c>
      <c r="ED57" s="412" t="s">
        <v>90</v>
      </c>
      <c r="EE57" s="412">
        <v>9730.2787000000008</v>
      </c>
      <c r="EF57" s="412">
        <v>4.519121097940456E-2</v>
      </c>
      <c r="EG57" s="413">
        <v>859013</v>
      </c>
      <c r="EH57" s="414">
        <f t="shared" si="29"/>
        <v>366.59885026759468</v>
      </c>
      <c r="EI57" s="415">
        <f t="shared" si="30"/>
        <v>1.484768762968707</v>
      </c>
      <c r="EJ57" s="402">
        <v>0</v>
      </c>
      <c r="EM57" s="278" t="s">
        <v>15</v>
      </c>
      <c r="EN57" s="278" t="s">
        <v>90</v>
      </c>
      <c r="EO57" s="278">
        <v>9730.2787000000008</v>
      </c>
      <c r="EP57" s="278">
        <v>4.519121097940456E-2</v>
      </c>
      <c r="EQ57" s="289">
        <v>859013</v>
      </c>
      <c r="ER57" s="290">
        <f t="shared" si="31"/>
        <v>366.59885026759468</v>
      </c>
      <c r="ES57" s="291">
        <f t="shared" si="23"/>
        <v>1.484768762968707</v>
      </c>
      <c r="ET57" s="402">
        <v>0</v>
      </c>
      <c r="EV57" s="34"/>
      <c r="EW57" s="34"/>
      <c r="EX57" s="34"/>
      <c r="EY57" s="34"/>
      <c r="EZ57" s="378"/>
      <c r="FA57" s="401"/>
      <c r="FB57" s="402"/>
      <c r="FC57" s="402"/>
    </row>
    <row r="58" spans="1:159" ht="17" customHeight="1">
      <c r="EC58" s="412" t="s">
        <v>15</v>
      </c>
      <c r="ED58" s="412" t="s">
        <v>91</v>
      </c>
      <c r="EE58" s="412">
        <v>11598.4503</v>
      </c>
      <c r="EF58" s="412">
        <v>5.386772883919945E-2</v>
      </c>
      <c r="EG58" s="413">
        <v>859014</v>
      </c>
      <c r="EH58" s="414">
        <f t="shared" si="29"/>
        <v>436.98425049899532</v>
      </c>
      <c r="EI58" s="415">
        <f t="shared" si="30"/>
        <v>1.7698379702407732</v>
      </c>
      <c r="EJ58" s="402">
        <v>0</v>
      </c>
      <c r="EM58" s="278" t="s">
        <v>15</v>
      </c>
      <c r="EN58" s="278" t="s">
        <v>91</v>
      </c>
      <c r="EO58" s="278">
        <v>11598.4503</v>
      </c>
      <c r="EP58" s="278">
        <v>5.386772883919945E-2</v>
      </c>
      <c r="EQ58" s="289">
        <v>859014</v>
      </c>
      <c r="ER58" s="290">
        <f t="shared" si="31"/>
        <v>436.98425049899532</v>
      </c>
      <c r="ES58" s="291">
        <f t="shared" si="23"/>
        <v>1.7698379702407732</v>
      </c>
      <c r="ET58" s="402">
        <v>0</v>
      </c>
      <c r="EV58" s="34"/>
      <c r="EW58" s="34"/>
      <c r="EX58" s="34"/>
      <c r="EY58" s="34"/>
      <c r="EZ58" s="378"/>
      <c r="FA58" s="401"/>
      <c r="FB58" s="402"/>
      <c r="FC58" s="402"/>
    </row>
    <row r="59" spans="1:159" ht="17" customHeight="1">
      <c r="EC59" s="412" t="s">
        <v>15</v>
      </c>
      <c r="ED59" s="412" t="s">
        <v>92</v>
      </c>
      <c r="EE59" s="412">
        <v>20670.0766</v>
      </c>
      <c r="EF59" s="412">
        <v>9.5999901070773372E-2</v>
      </c>
      <c r="EG59" s="413">
        <v>859015</v>
      </c>
      <c r="EH59" s="414">
        <f t="shared" si="29"/>
        <v>778.76765405528545</v>
      </c>
      <c r="EI59" s="415">
        <f t="shared" si="30"/>
        <v>3.1541012349266437</v>
      </c>
      <c r="EJ59" s="402">
        <v>0</v>
      </c>
      <c r="EM59" s="278" t="s">
        <v>15</v>
      </c>
      <c r="EN59" s="278" t="s">
        <v>92</v>
      </c>
      <c r="EO59" s="278">
        <v>20670.0766</v>
      </c>
      <c r="EP59" s="278">
        <v>9.5999901070773372E-2</v>
      </c>
      <c r="EQ59" s="289">
        <v>859015</v>
      </c>
      <c r="ER59" s="290">
        <f t="shared" si="31"/>
        <v>778.76765405528545</v>
      </c>
      <c r="ES59" s="291">
        <f t="shared" si="23"/>
        <v>3.1541012349266437</v>
      </c>
      <c r="ET59" s="402">
        <v>0</v>
      </c>
      <c r="EV59" s="34"/>
      <c r="EW59" s="34"/>
      <c r="EX59" s="34"/>
      <c r="EY59" s="34"/>
      <c r="EZ59" s="378"/>
      <c r="FA59" s="401"/>
      <c r="FB59" s="402"/>
      <c r="FC59" s="402"/>
    </row>
    <row r="60" spans="1:159" ht="17" customHeight="1">
      <c r="EC60" s="412" t="s">
        <v>15</v>
      </c>
      <c r="ED60" s="412" t="s">
        <v>93</v>
      </c>
      <c r="EE60" s="412">
        <v>6590.8657999999996</v>
      </c>
      <c r="EF60" s="412">
        <v>3.061055249165083E-2</v>
      </c>
      <c r="EG60" s="413">
        <v>859016</v>
      </c>
      <c r="EH60" s="414">
        <f t="shared" si="29"/>
        <v>248.31804915803806</v>
      </c>
      <c r="EI60" s="415">
        <f t="shared" si="30"/>
        <v>1.0057175094849806</v>
      </c>
      <c r="EJ60" s="402">
        <v>0</v>
      </c>
      <c r="EM60" s="278" t="s">
        <v>15</v>
      </c>
      <c r="EN60" s="278" t="s">
        <v>93</v>
      </c>
      <c r="EO60" s="278">
        <v>6590.8657999999996</v>
      </c>
      <c r="EP60" s="278">
        <v>3.061055249165083E-2</v>
      </c>
      <c r="EQ60" s="289">
        <v>859016</v>
      </c>
      <c r="ER60" s="290">
        <f t="shared" si="31"/>
        <v>248.31804915803806</v>
      </c>
      <c r="ES60" s="291">
        <f t="shared" si="23"/>
        <v>1.0057175094849806</v>
      </c>
      <c r="ET60" s="402">
        <v>0</v>
      </c>
      <c r="EV60" s="34"/>
      <c r="EW60" s="34"/>
      <c r="EX60" s="34"/>
      <c r="EY60" s="34"/>
      <c r="EZ60" s="378"/>
      <c r="FA60" s="401"/>
      <c r="FB60" s="402"/>
      <c r="FC60" s="402"/>
    </row>
    <row r="61" spans="1:159" ht="17" customHeight="1">
      <c r="EC61" s="412" t="s">
        <v>15</v>
      </c>
      <c r="ED61" s="412" t="s">
        <v>94</v>
      </c>
      <c r="EE61" s="412">
        <v>3970.3760000000002</v>
      </c>
      <c r="EF61" s="412">
        <v>1.843997536098985E-2</v>
      </c>
      <c r="EG61" s="413">
        <v>859017</v>
      </c>
      <c r="EH61" s="414">
        <f t="shared" si="29"/>
        <v>149.58824116004524</v>
      </c>
      <c r="EI61" s="415">
        <f t="shared" si="30"/>
        <v>0.6058500936916269</v>
      </c>
      <c r="EJ61" s="402">
        <v>0</v>
      </c>
      <c r="EM61" s="278" t="s">
        <v>15</v>
      </c>
      <c r="EN61" s="278" t="s">
        <v>94</v>
      </c>
      <c r="EO61" s="278">
        <v>3970.3760000000002</v>
      </c>
      <c r="EP61" s="278">
        <v>1.843997536098985E-2</v>
      </c>
      <c r="EQ61" s="289">
        <v>859017</v>
      </c>
      <c r="ER61" s="290">
        <f t="shared" si="31"/>
        <v>149.58824116004524</v>
      </c>
      <c r="ES61" s="291">
        <f t="shared" si="23"/>
        <v>0.6058500936916269</v>
      </c>
      <c r="ET61" s="402">
        <v>0</v>
      </c>
      <c r="EV61" s="34"/>
      <c r="EW61" s="34"/>
      <c r="EX61" s="34"/>
      <c r="EY61" s="34"/>
      <c r="EZ61" s="378"/>
      <c r="FA61" s="401"/>
      <c r="FB61" s="402"/>
      <c r="FC61" s="402"/>
    </row>
    <row r="62" spans="1:159" ht="17" customHeight="1">
      <c r="EC62" s="412" t="s">
        <v>15</v>
      </c>
      <c r="ED62" s="412" t="s">
        <v>95</v>
      </c>
      <c r="EE62" s="412">
        <v>14487.1335</v>
      </c>
      <c r="EF62" s="412">
        <v>6.7283900766922491E-2</v>
      </c>
      <c r="EG62" s="413">
        <v>859018</v>
      </c>
      <c r="EH62" s="414">
        <f t="shared" si="29"/>
        <v>545.81853701406874</v>
      </c>
      <c r="EI62" s="415">
        <f t="shared" si="30"/>
        <v>2.210629720786673</v>
      </c>
      <c r="EJ62" s="402">
        <v>0</v>
      </c>
      <c r="EM62" s="278" t="s">
        <v>15</v>
      </c>
      <c r="EN62" s="278" t="s">
        <v>95</v>
      </c>
      <c r="EO62" s="278">
        <v>14487.1335</v>
      </c>
      <c r="EP62" s="278">
        <v>6.7283900766922491E-2</v>
      </c>
      <c r="EQ62" s="289">
        <v>859018</v>
      </c>
      <c r="ER62" s="290">
        <f t="shared" si="31"/>
        <v>545.81853701406874</v>
      </c>
      <c r="ES62" s="291">
        <f t="shared" si="23"/>
        <v>2.210629720786673</v>
      </c>
      <c r="ET62" s="402">
        <v>0</v>
      </c>
      <c r="EV62" s="34"/>
      <c r="EW62" s="34"/>
      <c r="EX62" s="34"/>
      <c r="EY62" s="34"/>
      <c r="EZ62" s="378"/>
      <c r="FA62" s="401"/>
      <c r="FB62" s="402"/>
      <c r="FC62" s="402"/>
    </row>
    <row r="63" spans="1:159" ht="17" customHeight="1">
      <c r="EC63" s="412" t="s">
        <v>15</v>
      </c>
      <c r="ED63" s="412" t="s">
        <v>96</v>
      </c>
      <c r="EE63" s="412">
        <v>7440.5132000000003</v>
      </c>
      <c r="EF63" s="412">
        <v>3.4556646544589169E-2</v>
      </c>
      <c r="EG63" s="413">
        <v>859019</v>
      </c>
      <c r="EH63" s="414">
        <f t="shared" si="29"/>
        <v>280.32944056585575</v>
      </c>
      <c r="EI63" s="415">
        <f t="shared" si="30"/>
        <v>1.1353674360649439</v>
      </c>
      <c r="EJ63" s="402">
        <v>0</v>
      </c>
      <c r="EM63" s="278" t="s">
        <v>15</v>
      </c>
      <c r="EN63" s="278" t="s">
        <v>96</v>
      </c>
      <c r="EO63" s="278">
        <v>7440.5132000000003</v>
      </c>
      <c r="EP63" s="278">
        <v>3.4556646544589169E-2</v>
      </c>
      <c r="EQ63" s="289">
        <v>859019</v>
      </c>
      <c r="ER63" s="290">
        <f t="shared" si="31"/>
        <v>280.32944056585575</v>
      </c>
      <c r="ES63" s="291">
        <f t="shared" si="23"/>
        <v>1.1353674360649439</v>
      </c>
      <c r="ET63" s="402">
        <v>0</v>
      </c>
      <c r="EV63" s="34"/>
      <c r="EW63" s="34"/>
      <c r="EX63" s="34"/>
      <c r="EY63" s="34"/>
      <c r="EZ63" s="378"/>
      <c r="FA63" s="401"/>
      <c r="FB63" s="402"/>
      <c r="FC63" s="402"/>
    </row>
    <row r="64" spans="1:159" ht="17" customHeight="1">
      <c r="EC64" s="412" t="s">
        <v>15</v>
      </c>
      <c r="ED64" s="412" t="s">
        <v>97</v>
      </c>
      <c r="EE64" s="412">
        <v>20150.029900000001</v>
      </c>
      <c r="EF64" s="412">
        <v>9.3584601276858623E-2</v>
      </c>
      <c r="EG64" s="413">
        <v>859020</v>
      </c>
      <c r="EH64" s="414">
        <f t="shared" si="29"/>
        <v>759.17432808966271</v>
      </c>
      <c r="EI64" s="415">
        <f t="shared" si="30"/>
        <v>3.0747459441634968</v>
      </c>
      <c r="EJ64" s="402">
        <v>0</v>
      </c>
      <c r="EM64" s="278" t="s">
        <v>15</v>
      </c>
      <c r="EN64" s="278" t="s">
        <v>97</v>
      </c>
      <c r="EO64" s="278">
        <v>20150.029900000001</v>
      </c>
      <c r="EP64" s="278">
        <v>9.3584601276858623E-2</v>
      </c>
      <c r="EQ64" s="289">
        <v>859020</v>
      </c>
      <c r="ER64" s="290">
        <f t="shared" si="31"/>
        <v>759.17432808966271</v>
      </c>
      <c r="ES64" s="291">
        <f t="shared" si="23"/>
        <v>3.0747459441634968</v>
      </c>
      <c r="ET64" s="402">
        <v>0</v>
      </c>
      <c r="EV64" s="34"/>
      <c r="EW64" s="34"/>
      <c r="EX64" s="34"/>
      <c r="EY64" s="34"/>
      <c r="EZ64" s="378"/>
      <c r="FA64" s="401"/>
      <c r="FB64" s="402"/>
      <c r="FC64" s="402"/>
    </row>
    <row r="65" spans="133:159" ht="17" customHeight="1">
      <c r="EC65" s="412" t="s">
        <v>15</v>
      </c>
      <c r="ED65" s="412" t="s">
        <v>98</v>
      </c>
      <c r="EE65" s="412">
        <v>8631.4781000000003</v>
      </c>
      <c r="EF65" s="412">
        <v>4.0087952247576428E-2</v>
      </c>
      <c r="EG65" s="413">
        <v>859021</v>
      </c>
      <c r="EH65" s="414">
        <f t="shared" si="29"/>
        <v>325.20034062024587</v>
      </c>
      <c r="EI65" s="415">
        <f t="shared" si="30"/>
        <v>1.3170998957232833</v>
      </c>
      <c r="EJ65" s="402">
        <v>0</v>
      </c>
      <c r="EM65" s="278" t="s">
        <v>15</v>
      </c>
      <c r="EN65" s="278" t="s">
        <v>98</v>
      </c>
      <c r="EO65" s="278">
        <v>8631.4781000000003</v>
      </c>
      <c r="EP65" s="278">
        <v>4.0087952247576428E-2</v>
      </c>
      <c r="EQ65" s="289">
        <v>859021</v>
      </c>
      <c r="ER65" s="290">
        <f t="shared" si="31"/>
        <v>325.20034062024587</v>
      </c>
      <c r="ES65" s="291">
        <f t="shared" si="23"/>
        <v>1.3170998957232833</v>
      </c>
      <c r="ET65" s="402">
        <v>0</v>
      </c>
      <c r="EV65" s="34"/>
      <c r="EW65" s="34"/>
      <c r="EX65" s="34"/>
      <c r="EY65" s="34"/>
      <c r="EZ65" s="378"/>
      <c r="FA65" s="401"/>
      <c r="FB65" s="402"/>
      <c r="FC65" s="402"/>
    </row>
    <row r="66" spans="133:159" ht="17" customHeight="1">
      <c r="EC66" s="412" t="s">
        <v>15</v>
      </c>
      <c r="ED66" s="412" t="s">
        <v>99</v>
      </c>
      <c r="EE66" s="412">
        <v>11977.777099999999</v>
      </c>
      <c r="EF66" s="412">
        <v>5.56294705094501E-2</v>
      </c>
      <c r="EG66" s="413">
        <v>859022</v>
      </c>
      <c r="EH66" s="414">
        <f t="shared" si="29"/>
        <v>451.27580093070964</v>
      </c>
      <c r="EI66" s="415">
        <f t="shared" si="30"/>
        <v>1.827720442157726</v>
      </c>
      <c r="EJ66" s="402">
        <v>0</v>
      </c>
      <c r="EM66" s="278" t="s">
        <v>15</v>
      </c>
      <c r="EN66" s="278" t="s">
        <v>99</v>
      </c>
      <c r="EO66" s="278">
        <v>11977.777099999999</v>
      </c>
      <c r="EP66" s="278">
        <v>5.56294705094501E-2</v>
      </c>
      <c r="EQ66" s="289">
        <v>859022</v>
      </c>
      <c r="ER66" s="290">
        <f t="shared" si="31"/>
        <v>451.27580093070964</v>
      </c>
      <c r="ES66" s="291">
        <f t="shared" si="23"/>
        <v>1.827720442157726</v>
      </c>
      <c r="ET66" s="402">
        <v>0</v>
      </c>
      <c r="EV66" s="34"/>
      <c r="EW66" s="34"/>
      <c r="EX66" s="34"/>
      <c r="EY66" s="34"/>
      <c r="EZ66" s="378"/>
      <c r="FA66" s="401"/>
      <c r="FB66" s="402"/>
      <c r="FC66" s="402"/>
    </row>
    <row r="67" spans="133:159" ht="17" customHeight="1">
      <c r="EC67" s="412" t="s">
        <v>15</v>
      </c>
      <c r="ED67" s="412" t="s">
        <v>100</v>
      </c>
      <c r="EE67" s="412">
        <v>5754.1068999999998</v>
      </c>
      <c r="EF67" s="412">
        <v>2.672431766172818E-2</v>
      </c>
      <c r="EG67" s="413">
        <v>859023</v>
      </c>
      <c r="EH67" s="414">
        <f t="shared" si="29"/>
        <v>216.79224602855757</v>
      </c>
      <c r="EI67" s="415">
        <f t="shared" si="30"/>
        <v>0.8780342729445868</v>
      </c>
      <c r="EJ67" s="402">
        <v>0</v>
      </c>
      <c r="EM67" s="278" t="s">
        <v>15</v>
      </c>
      <c r="EN67" s="278" t="s">
        <v>100</v>
      </c>
      <c r="EO67" s="278">
        <v>5754.1068999999998</v>
      </c>
      <c r="EP67" s="278">
        <v>2.672431766172818E-2</v>
      </c>
      <c r="EQ67" s="289">
        <v>859023</v>
      </c>
      <c r="ER67" s="290">
        <f t="shared" si="31"/>
        <v>216.79224602855757</v>
      </c>
      <c r="ES67" s="291">
        <f t="shared" si="23"/>
        <v>0.8780342729445868</v>
      </c>
      <c r="ET67" s="402">
        <v>0</v>
      </c>
      <c r="EV67" s="34"/>
      <c r="EW67" s="34"/>
      <c r="EX67" s="34"/>
      <c r="EY67" s="34"/>
      <c r="EZ67" s="378"/>
      <c r="FA67" s="401"/>
      <c r="FB67" s="402"/>
      <c r="FC67" s="402"/>
    </row>
    <row r="68" spans="133:159" ht="17" customHeight="1">
      <c r="EC68" s="412" t="s">
        <v>15</v>
      </c>
      <c r="ED68" s="412" t="s">
        <v>101</v>
      </c>
      <c r="EE68" s="412">
        <v>6005.2467999999999</v>
      </c>
      <c r="EF68" s="412">
        <v>2.7890709350616452E-2</v>
      </c>
      <c r="EG68" s="413">
        <v>859024</v>
      </c>
      <c r="EH68" s="414">
        <f t="shared" si="29"/>
        <v>226.254215354916</v>
      </c>
      <c r="EI68" s="415">
        <f t="shared" si="30"/>
        <v>0.91635636937694143</v>
      </c>
      <c r="EJ68" s="402">
        <v>0</v>
      </c>
      <c r="EM68" s="278" t="s">
        <v>15</v>
      </c>
      <c r="EN68" s="278" t="s">
        <v>101</v>
      </c>
      <c r="EO68" s="278">
        <v>6005.2467999999999</v>
      </c>
      <c r="EP68" s="278">
        <v>2.7890709350616452E-2</v>
      </c>
      <c r="EQ68" s="289">
        <v>859024</v>
      </c>
      <c r="ER68" s="290">
        <f t="shared" si="31"/>
        <v>226.254215354916</v>
      </c>
      <c r="ES68" s="291">
        <f t="shared" si="23"/>
        <v>0.91635636937694143</v>
      </c>
      <c r="ET68" s="402">
        <v>0</v>
      </c>
      <c r="EV68" s="34"/>
      <c r="EW68" s="34"/>
      <c r="EX68" s="34"/>
      <c r="EY68" s="34"/>
      <c r="EZ68" s="378"/>
      <c r="FA68" s="401"/>
      <c r="FB68" s="402"/>
      <c r="FC68" s="402"/>
    </row>
    <row r="69" spans="133:159" ht="17" customHeight="1">
      <c r="EC69" s="412" t="s">
        <v>16</v>
      </c>
      <c r="ED69" s="412" t="s">
        <v>575</v>
      </c>
      <c r="EE69" s="412">
        <v>10596.0813</v>
      </c>
      <c r="EF69" s="412">
        <v>0.3566329663552395</v>
      </c>
      <c r="EG69" s="413">
        <v>859025</v>
      </c>
      <c r="EH69" s="414">
        <f t="shared" si="29"/>
        <v>313.57275938293026</v>
      </c>
      <c r="EI69" s="415">
        <f t="shared" si="30"/>
        <v>1.2700068145599208</v>
      </c>
      <c r="EJ69" s="402">
        <v>0</v>
      </c>
      <c r="EM69" s="278" t="s">
        <v>16</v>
      </c>
      <c r="EN69" s="278" t="s">
        <v>575</v>
      </c>
      <c r="EO69" s="278">
        <v>10596.0813</v>
      </c>
      <c r="EP69" s="278">
        <v>0.3566329663552395</v>
      </c>
      <c r="EQ69" s="289">
        <v>859025</v>
      </c>
      <c r="ER69" s="290">
        <f t="shared" si="31"/>
        <v>313.57275938293026</v>
      </c>
      <c r="ES69" s="291">
        <f t="shared" si="23"/>
        <v>1.2700068145599208</v>
      </c>
      <c r="ET69" s="402">
        <v>0</v>
      </c>
      <c r="EV69" s="34"/>
      <c r="EW69" s="34"/>
      <c r="EX69" s="34"/>
      <c r="EY69" s="34"/>
      <c r="EZ69" s="378"/>
      <c r="FA69" s="401"/>
      <c r="FB69" s="402"/>
      <c r="FC69" s="402"/>
    </row>
    <row r="70" spans="133:159" ht="17" customHeight="1">
      <c r="EC70" s="412" t="s">
        <v>16</v>
      </c>
      <c r="ED70" s="412" t="s">
        <v>576</v>
      </c>
      <c r="EE70" s="412">
        <v>10127.7948</v>
      </c>
      <c r="EF70" s="412">
        <v>0.34087181854306553</v>
      </c>
      <c r="EG70" s="413">
        <v>859026</v>
      </c>
      <c r="EH70" s="414">
        <f t="shared" si="29"/>
        <v>299.71462769921294</v>
      </c>
      <c r="EI70" s="415">
        <f t="shared" si="30"/>
        <v>1.2138797399057832</v>
      </c>
      <c r="EJ70" s="402">
        <v>0</v>
      </c>
      <c r="EM70" s="278" t="s">
        <v>16</v>
      </c>
      <c r="EN70" s="278" t="s">
        <v>576</v>
      </c>
      <c r="EO70" s="278">
        <v>10127.7948</v>
      </c>
      <c r="EP70" s="278">
        <v>0.34087181854306553</v>
      </c>
      <c r="EQ70" s="289">
        <v>859026</v>
      </c>
      <c r="ER70" s="290">
        <f t="shared" si="31"/>
        <v>299.71462769921294</v>
      </c>
      <c r="ES70" s="291">
        <f t="shared" si="23"/>
        <v>1.2138797399057832</v>
      </c>
      <c r="ET70" s="402">
        <v>0</v>
      </c>
      <c r="EV70" s="34"/>
      <c r="EW70" s="34"/>
      <c r="EX70" s="34"/>
      <c r="EY70" s="34"/>
      <c r="EZ70" s="378"/>
      <c r="FA70" s="401"/>
      <c r="FB70" s="402"/>
      <c r="FC70" s="402"/>
    </row>
    <row r="71" spans="133:159" ht="17" customHeight="1">
      <c r="EC71" s="412" t="s">
        <v>16</v>
      </c>
      <c r="ED71" s="412" t="s">
        <v>382</v>
      </c>
      <c r="EE71" s="412">
        <v>8987.5704000000005</v>
      </c>
      <c r="EF71" s="412">
        <v>0.30249521510169491</v>
      </c>
      <c r="EG71" s="413">
        <v>859027</v>
      </c>
      <c r="EH71" s="414">
        <f t="shared" si="29"/>
        <v>265.97165222546437</v>
      </c>
      <c r="EI71" s="415">
        <f t="shared" si="30"/>
        <v>1.0772166927727365</v>
      </c>
      <c r="EJ71" s="402">
        <v>0</v>
      </c>
      <c r="EM71" s="278" t="s">
        <v>16</v>
      </c>
      <c r="EN71" s="278" t="s">
        <v>382</v>
      </c>
      <c r="EO71" s="278">
        <v>8987.5704000000005</v>
      </c>
      <c r="EP71" s="278">
        <v>0.30249521510169491</v>
      </c>
      <c r="EQ71" s="289">
        <v>859027</v>
      </c>
      <c r="ER71" s="290">
        <f t="shared" si="31"/>
        <v>265.97165222546437</v>
      </c>
      <c r="ES71" s="291">
        <f t="shared" si="23"/>
        <v>1.0772166927727365</v>
      </c>
      <c r="ET71" s="402">
        <v>0</v>
      </c>
      <c r="EV71" s="34"/>
      <c r="EW71" s="34"/>
      <c r="EX71" s="34"/>
      <c r="EY71" s="34"/>
      <c r="EZ71" s="378"/>
      <c r="FA71" s="401"/>
      <c r="FB71" s="402"/>
      <c r="FC71" s="402"/>
    </row>
    <row r="72" spans="133:159" ht="17" customHeight="1">
      <c r="EC72" s="412" t="s">
        <v>17</v>
      </c>
      <c r="ED72" s="412" t="s">
        <v>577</v>
      </c>
      <c r="EE72" s="412">
        <v>2607.4872</v>
      </c>
      <c r="EF72" s="412">
        <v>3.7361234000204045E-2</v>
      </c>
      <c r="EG72" s="413">
        <v>859028</v>
      </c>
      <c r="EH72" s="414">
        <f t="shared" si="29"/>
        <v>28.043875345215881</v>
      </c>
      <c r="EI72" s="415">
        <f t="shared" si="30"/>
        <v>0.11358101662013161</v>
      </c>
      <c r="EJ72" s="402">
        <f t="shared" ref="EJ72" si="32">VLOOKUP($ED72,$AC$180:$AG$186,5,FALSE)</f>
        <v>54.47052906436727</v>
      </c>
      <c r="EM72" s="278" t="s">
        <v>17</v>
      </c>
      <c r="EN72" s="278" t="s">
        <v>577</v>
      </c>
      <c r="EO72" s="278">
        <v>2607.4872</v>
      </c>
      <c r="EP72" s="278">
        <v>3.7361234000204045E-2</v>
      </c>
      <c r="EQ72" s="289">
        <v>859028</v>
      </c>
      <c r="ER72" s="290">
        <f t="shared" si="31"/>
        <v>28.043875345215881</v>
      </c>
      <c r="ES72" s="291">
        <f t="shared" si="23"/>
        <v>0.11358101662013161</v>
      </c>
      <c r="ET72" s="402">
        <f t="shared" ref="ET72" si="33">VLOOKUP($ED72,$AC$180:$AG$186,5,FALSE)</f>
        <v>54.47052906436727</v>
      </c>
      <c r="EV72" s="34"/>
      <c r="EW72" s="34"/>
      <c r="EX72" s="34"/>
      <c r="EY72" s="34"/>
      <c r="EZ72" s="378"/>
      <c r="FA72" s="401"/>
      <c r="FB72" s="402"/>
      <c r="FC72" s="402"/>
    </row>
    <row r="73" spans="133:159" ht="17" customHeight="1">
      <c r="EC73" s="412" t="s">
        <v>17</v>
      </c>
      <c r="ED73" s="412" t="s">
        <v>103</v>
      </c>
      <c r="EE73" s="412">
        <v>15824.4439</v>
      </c>
      <c r="EF73" s="412">
        <v>0.22673965627559034</v>
      </c>
      <c r="EG73" s="413">
        <v>859029</v>
      </c>
      <c r="EH73" s="414">
        <f t="shared" si="29"/>
        <v>170.19402133171039</v>
      </c>
      <c r="EI73" s="415">
        <f t="shared" si="30"/>
        <v>0.68930594390271216</v>
      </c>
      <c r="EJ73" s="402">
        <f>VLOOKUP($ED73,$AC$180:$AG$186,5,FALSE)</f>
        <v>330.57337017125121</v>
      </c>
      <c r="EM73" s="278" t="s">
        <v>17</v>
      </c>
      <c r="EN73" s="278" t="s">
        <v>103</v>
      </c>
      <c r="EO73" s="278">
        <v>15824.4439</v>
      </c>
      <c r="EP73" s="278">
        <v>0.22673965627559034</v>
      </c>
      <c r="EQ73" s="289">
        <v>859029</v>
      </c>
      <c r="ER73" s="290">
        <f t="shared" si="31"/>
        <v>170.19402133171039</v>
      </c>
      <c r="ES73" s="291">
        <f t="shared" si="23"/>
        <v>0.68930594390271216</v>
      </c>
      <c r="ET73" s="402">
        <f>VLOOKUP($ED73,$AC$180:$AG$186,5,FALSE)</f>
        <v>330.57337017125121</v>
      </c>
      <c r="EV73" s="34"/>
      <c r="EW73" s="34"/>
      <c r="EX73" s="34"/>
      <c r="EY73" s="34"/>
      <c r="EZ73" s="378"/>
      <c r="FA73" s="401"/>
      <c r="FB73" s="402"/>
      <c r="FC73" s="402"/>
    </row>
    <row r="74" spans="133:159" ht="17" customHeight="1">
      <c r="EC74" s="412" t="s">
        <v>17</v>
      </c>
      <c r="ED74" s="412" t="s">
        <v>104</v>
      </c>
      <c r="EE74" s="412">
        <v>11511.7454</v>
      </c>
      <c r="EF74" s="412">
        <v>0.16494539786817458</v>
      </c>
      <c r="EG74" s="413">
        <v>859030</v>
      </c>
      <c r="EH74" s="414">
        <f t="shared" si="29"/>
        <v>123.8103692334376</v>
      </c>
      <c r="EI74" s="415">
        <f t="shared" si="30"/>
        <v>0.5014466592987008</v>
      </c>
      <c r="EJ74" s="402">
        <f t="shared" ref="EJ74:EJ77" si="34">VLOOKUP($ED74,$AC$180:$AG$186,5,FALSE)</f>
        <v>240.48089762139432</v>
      </c>
      <c r="EM74" s="278" t="s">
        <v>17</v>
      </c>
      <c r="EN74" s="278" t="s">
        <v>104</v>
      </c>
      <c r="EO74" s="278">
        <v>11511.7454</v>
      </c>
      <c r="EP74" s="278">
        <v>0.16494539786817458</v>
      </c>
      <c r="EQ74" s="289">
        <v>859030</v>
      </c>
      <c r="ER74" s="290">
        <f t="shared" si="31"/>
        <v>123.8103692334376</v>
      </c>
      <c r="ES74" s="291">
        <f t="shared" si="23"/>
        <v>0.5014466592987008</v>
      </c>
      <c r="ET74" s="402">
        <f t="shared" ref="ET74:ET77" si="35">VLOOKUP($ED74,$AC$180:$AG$186,5,FALSE)</f>
        <v>240.48089762139432</v>
      </c>
      <c r="EV74" s="34"/>
      <c r="EW74" s="34"/>
      <c r="EX74" s="34"/>
      <c r="EY74" s="34"/>
      <c r="EZ74" s="378"/>
      <c r="FA74" s="401"/>
      <c r="FB74" s="402"/>
      <c r="FC74" s="402"/>
    </row>
    <row r="75" spans="133:159" ht="17" customHeight="1">
      <c r="EC75" s="412" t="s">
        <v>17</v>
      </c>
      <c r="ED75" s="412" t="s">
        <v>117</v>
      </c>
      <c r="EE75" s="412">
        <v>4659.9287999999997</v>
      </c>
      <c r="EF75" s="412">
        <v>6.6769528272694875E-2</v>
      </c>
      <c r="EG75" s="413">
        <v>859031</v>
      </c>
      <c r="EH75" s="414">
        <f t="shared" si="29"/>
        <v>50.118160650906134</v>
      </c>
      <c r="EI75" s="415">
        <f t="shared" si="30"/>
        <v>0.2029844865514315</v>
      </c>
      <c r="EJ75" s="402">
        <f t="shared" si="34"/>
        <v>97.34612969079275</v>
      </c>
      <c r="EM75" s="278" t="s">
        <v>17</v>
      </c>
      <c r="EN75" s="278" t="s">
        <v>117</v>
      </c>
      <c r="EO75" s="278">
        <v>4659.9287999999997</v>
      </c>
      <c r="EP75" s="278">
        <v>6.6769528272694875E-2</v>
      </c>
      <c r="EQ75" s="289">
        <v>859031</v>
      </c>
      <c r="ER75" s="290">
        <f t="shared" si="31"/>
        <v>50.118160650906134</v>
      </c>
      <c r="ES75" s="291">
        <f t="shared" si="23"/>
        <v>0.2029844865514315</v>
      </c>
      <c r="ET75" s="402">
        <f t="shared" si="35"/>
        <v>97.34612969079275</v>
      </c>
      <c r="EV75" s="34"/>
      <c r="EW75" s="34"/>
      <c r="EX75" s="34"/>
      <c r="EY75" s="34"/>
      <c r="EZ75" s="378"/>
      <c r="FA75" s="401"/>
      <c r="FB75" s="402"/>
      <c r="FC75" s="402"/>
    </row>
    <row r="76" spans="133:159" ht="17" customHeight="1">
      <c r="EC76" s="412" t="s">
        <v>17</v>
      </c>
      <c r="ED76" s="412" t="s">
        <v>118</v>
      </c>
      <c r="EE76" s="412">
        <v>23055.857</v>
      </c>
      <c r="EF76" s="412">
        <v>0.33035455301649896</v>
      </c>
      <c r="EG76" s="413">
        <v>859032</v>
      </c>
      <c r="EH76" s="414">
        <f t="shared" si="29"/>
        <v>247.96884129867368</v>
      </c>
      <c r="EI76" s="415">
        <f t="shared" si="30"/>
        <v>1.0043031762949315</v>
      </c>
      <c r="EJ76" s="402">
        <f t="shared" si="34"/>
        <v>481.63792666840152</v>
      </c>
      <c r="EM76" s="278" t="s">
        <v>17</v>
      </c>
      <c r="EN76" s="278" t="s">
        <v>118</v>
      </c>
      <c r="EO76" s="278">
        <v>23055.857</v>
      </c>
      <c r="EP76" s="278">
        <v>0.33035455301649896</v>
      </c>
      <c r="EQ76" s="289">
        <v>859032</v>
      </c>
      <c r="ER76" s="290">
        <f t="shared" si="31"/>
        <v>247.96884129867368</v>
      </c>
      <c r="ES76" s="291">
        <f t="shared" si="23"/>
        <v>1.0043031762949315</v>
      </c>
      <c r="ET76" s="402">
        <f t="shared" si="35"/>
        <v>481.63792666840152</v>
      </c>
      <c r="EV76" s="34"/>
      <c r="EW76" s="34"/>
      <c r="EX76" s="34"/>
      <c r="EY76" s="34"/>
      <c r="EZ76" s="378"/>
      <c r="FA76" s="401"/>
      <c r="FB76" s="402"/>
      <c r="FC76" s="402"/>
    </row>
    <row r="77" spans="133:159" ht="17" customHeight="1">
      <c r="EC77" s="412" t="s">
        <v>17</v>
      </c>
      <c r="ED77" s="412" t="s">
        <v>119</v>
      </c>
      <c r="EE77" s="412">
        <v>12131.7871</v>
      </c>
      <c r="EF77" s="412">
        <v>0.17382963056683723</v>
      </c>
      <c r="EG77" s="413">
        <v>859033</v>
      </c>
      <c r="EH77" s="414">
        <f t="shared" si="29"/>
        <v>130.47900106550784</v>
      </c>
      <c r="EI77" s="415">
        <f t="shared" si="30"/>
        <v>0.52845540804073665</v>
      </c>
      <c r="EJ77" s="402">
        <f t="shared" si="34"/>
        <v>253.43359761584483</v>
      </c>
      <c r="EM77" s="278" t="s">
        <v>17</v>
      </c>
      <c r="EN77" s="278" t="s">
        <v>119</v>
      </c>
      <c r="EO77" s="278">
        <v>12131.7871</v>
      </c>
      <c r="EP77" s="278">
        <v>0.17382963056683723</v>
      </c>
      <c r="EQ77" s="289">
        <v>859033</v>
      </c>
      <c r="ER77" s="290">
        <f t="shared" si="31"/>
        <v>130.47900106550784</v>
      </c>
      <c r="ES77" s="291">
        <f t="shared" si="23"/>
        <v>0.52845540804073665</v>
      </c>
      <c r="ET77" s="402">
        <f t="shared" si="35"/>
        <v>253.43359761584483</v>
      </c>
      <c r="EV77" s="34"/>
      <c r="EW77" s="34"/>
      <c r="EX77" s="34"/>
      <c r="EY77" s="34"/>
      <c r="EZ77" s="378"/>
      <c r="FA77" s="401"/>
      <c r="FB77" s="402"/>
      <c r="FC77" s="402"/>
    </row>
    <row r="78" spans="133:159" ht="17" customHeight="1">
      <c r="EC78" s="412" t="s">
        <v>852</v>
      </c>
      <c r="ED78" s="412" t="s">
        <v>579</v>
      </c>
      <c r="EE78" s="412">
        <v>17191.4817</v>
      </c>
      <c r="EF78" s="412">
        <v>0.33368246308233862</v>
      </c>
      <c r="EG78" s="413">
        <v>859034</v>
      </c>
      <c r="EH78" s="414">
        <f t="shared" si="29"/>
        <v>321.57550488188093</v>
      </c>
      <c r="EI78" s="415">
        <f t="shared" si="30"/>
        <v>1.3024188816631241</v>
      </c>
      <c r="EJ78" s="402">
        <v>0</v>
      </c>
      <c r="EM78" s="278" t="s">
        <v>852</v>
      </c>
      <c r="EN78" s="278" t="s">
        <v>579</v>
      </c>
      <c r="EO78" s="278">
        <v>17191.4817</v>
      </c>
      <c r="EP78" s="278">
        <v>0.33368246308233862</v>
      </c>
      <c r="EQ78" s="289">
        <v>859034</v>
      </c>
      <c r="ER78" s="290">
        <f t="shared" si="31"/>
        <v>321.57550488188093</v>
      </c>
      <c r="ES78" s="291">
        <f t="shared" si="23"/>
        <v>1.3024188816631241</v>
      </c>
      <c r="ET78" s="402">
        <v>0</v>
      </c>
      <c r="EV78" s="34"/>
      <c r="EW78" s="34"/>
      <c r="EX78" s="34"/>
      <c r="EY78" s="34"/>
      <c r="EZ78" s="378"/>
      <c r="FA78" s="401"/>
      <c r="FB78" s="402"/>
      <c r="FC78" s="402"/>
    </row>
    <row r="79" spans="133:159" ht="17" customHeight="1">
      <c r="EC79" s="412" t="s">
        <v>578</v>
      </c>
      <c r="ED79" s="412" t="s">
        <v>580</v>
      </c>
      <c r="EE79" s="412">
        <v>22736.497299999999</v>
      </c>
      <c r="EF79" s="412">
        <v>0.44130986225166047</v>
      </c>
      <c r="EG79" s="413">
        <v>859035</v>
      </c>
      <c r="EH79" s="414">
        <f t="shared" si="29"/>
        <v>425.29787286997049</v>
      </c>
      <c r="EI79" s="415">
        <f t="shared" si="30"/>
        <v>1.7225067567272367</v>
      </c>
      <c r="EJ79" s="402">
        <v>0</v>
      </c>
      <c r="EM79" s="278" t="s">
        <v>578</v>
      </c>
      <c r="EN79" s="278" t="s">
        <v>580</v>
      </c>
      <c r="EO79" s="278">
        <v>22736.497299999999</v>
      </c>
      <c r="EP79" s="278">
        <v>0.44130986225166047</v>
      </c>
      <c r="EQ79" s="289">
        <v>859035</v>
      </c>
      <c r="ER79" s="290">
        <f t="shared" si="31"/>
        <v>425.29787286997049</v>
      </c>
      <c r="ES79" s="291">
        <f t="shared" si="23"/>
        <v>1.7225067567272367</v>
      </c>
      <c r="ET79" s="402">
        <v>0</v>
      </c>
      <c r="EV79" s="34"/>
      <c r="EW79" s="34"/>
      <c r="EX79" s="34"/>
      <c r="EY79" s="34"/>
      <c r="EZ79" s="378"/>
      <c r="FA79" s="401"/>
      <c r="FB79" s="402"/>
      <c r="FC79" s="402"/>
    </row>
    <row r="80" spans="133:159" ht="17" customHeight="1">
      <c r="EC80" s="412" t="s">
        <v>578</v>
      </c>
      <c r="ED80" s="412" t="s">
        <v>581</v>
      </c>
      <c r="EE80" s="412">
        <v>11592.5041</v>
      </c>
      <c r="EF80" s="412">
        <v>0.22500767466600097</v>
      </c>
      <c r="EG80" s="413">
        <v>859036</v>
      </c>
      <c r="EH80" s="414">
        <f t="shared" si="29"/>
        <v>216.84374993708514</v>
      </c>
      <c r="EI80" s="415">
        <f t="shared" si="30"/>
        <v>0.87824286987416467</v>
      </c>
      <c r="EJ80" s="402">
        <v>0</v>
      </c>
      <c r="EM80" s="278" t="s">
        <v>578</v>
      </c>
      <c r="EN80" s="278" t="s">
        <v>581</v>
      </c>
      <c r="EO80" s="278">
        <v>11592.5041</v>
      </c>
      <c r="EP80" s="278">
        <v>0.22500767466600097</v>
      </c>
      <c r="EQ80" s="289">
        <v>859036</v>
      </c>
      <c r="ER80" s="290">
        <f t="shared" si="31"/>
        <v>216.84374993708514</v>
      </c>
      <c r="ES80" s="291">
        <f t="shared" si="23"/>
        <v>0.87824286987416467</v>
      </c>
      <c r="ET80" s="402">
        <v>0</v>
      </c>
      <c r="EV80" s="34"/>
      <c r="EW80" s="34"/>
      <c r="EX80" s="34"/>
      <c r="EY80" s="34"/>
      <c r="EZ80" s="378"/>
      <c r="FA80" s="401"/>
      <c r="FB80" s="402"/>
      <c r="FC80" s="402"/>
    </row>
    <row r="81" spans="1:159" ht="17" customHeight="1">
      <c r="EC81" s="412" t="s">
        <v>24</v>
      </c>
      <c r="ED81" s="412" t="s">
        <v>582</v>
      </c>
      <c r="EE81" s="412">
        <v>11518.725399999999</v>
      </c>
      <c r="EF81" s="412">
        <v>0.5685947059337656</v>
      </c>
      <c r="EG81" s="413">
        <v>859037</v>
      </c>
      <c r="EH81" s="414">
        <f t="shared" si="29"/>
        <v>173.48497457701447</v>
      </c>
      <c r="EI81" s="415">
        <f t="shared" si="30"/>
        <v>0.70263469432146375</v>
      </c>
      <c r="EJ81" s="402">
        <v>0</v>
      </c>
      <c r="EM81" s="278" t="s">
        <v>24</v>
      </c>
      <c r="EN81" s="278" t="s">
        <v>582</v>
      </c>
      <c r="EO81" s="278">
        <v>11518.725399999999</v>
      </c>
      <c r="EP81" s="278">
        <v>0.5685947059337656</v>
      </c>
      <c r="EQ81" s="289">
        <v>859037</v>
      </c>
      <c r="ER81" s="290">
        <f t="shared" si="31"/>
        <v>173.48497457701447</v>
      </c>
      <c r="ES81" s="291">
        <f t="shared" si="23"/>
        <v>0.70263469432146375</v>
      </c>
      <c r="ET81" s="402">
        <v>0</v>
      </c>
      <c r="EV81" s="34"/>
      <c r="EW81" s="34"/>
      <c r="EX81" s="34"/>
      <c r="EY81" s="34"/>
      <c r="EZ81" s="378"/>
      <c r="FA81" s="401"/>
      <c r="FB81" s="402"/>
      <c r="FC81" s="402"/>
    </row>
    <row r="82" spans="1:159" ht="17" customHeight="1">
      <c r="EC82" s="412" t="s">
        <v>24</v>
      </c>
      <c r="ED82" s="412" t="s">
        <v>583</v>
      </c>
      <c r="EE82" s="412">
        <v>8739.51</v>
      </c>
      <c r="EF82" s="412">
        <v>0.43140529406623446</v>
      </c>
      <c r="EG82" s="413">
        <v>859038</v>
      </c>
      <c r="EH82" s="414">
        <f t="shared" si="29"/>
        <v>131.62686126414332</v>
      </c>
      <c r="EI82" s="415">
        <f t="shared" si="30"/>
        <v>0.53310437779594744</v>
      </c>
      <c r="EJ82" s="402">
        <v>0</v>
      </c>
      <c r="EM82" s="278" t="s">
        <v>24</v>
      </c>
      <c r="EN82" s="278" t="s">
        <v>583</v>
      </c>
      <c r="EO82" s="278">
        <v>8739.51</v>
      </c>
      <c r="EP82" s="278">
        <v>0.43140529406623446</v>
      </c>
      <c r="EQ82" s="289">
        <v>859038</v>
      </c>
      <c r="ER82" s="290">
        <f t="shared" si="31"/>
        <v>131.62686126414332</v>
      </c>
      <c r="ES82" s="291">
        <f t="shared" si="23"/>
        <v>0.53310437779594744</v>
      </c>
      <c r="ET82" s="402">
        <v>0</v>
      </c>
      <c r="EV82" s="34"/>
      <c r="EW82" s="34"/>
      <c r="EX82" s="34"/>
      <c r="EY82" s="34"/>
      <c r="EZ82" s="378"/>
      <c r="FA82" s="401"/>
      <c r="FB82" s="402"/>
      <c r="FC82" s="402"/>
    </row>
    <row r="83" spans="1:159" ht="17" customHeight="1">
      <c r="EC83" s="412" t="s">
        <v>481</v>
      </c>
      <c r="ED83" s="412" t="s">
        <v>584</v>
      </c>
      <c r="EE83" s="412">
        <v>2599.7966999999999</v>
      </c>
      <c r="EF83" s="412">
        <v>0.17076241811950377</v>
      </c>
      <c r="EG83" s="413">
        <v>859039</v>
      </c>
      <c r="EH83" s="414">
        <f t="shared" si="29"/>
        <v>16.428013199340338</v>
      </c>
      <c r="EI83" s="415">
        <f t="shared" si="30"/>
        <v>6.6535399165091838E-2</v>
      </c>
      <c r="EJ83" s="402">
        <v>0</v>
      </c>
      <c r="EM83" s="278" t="s">
        <v>481</v>
      </c>
      <c r="EN83" s="278" t="s">
        <v>584</v>
      </c>
      <c r="EO83" s="278">
        <v>2599.7966999999999</v>
      </c>
      <c r="EP83" s="278">
        <v>0.17076241811950377</v>
      </c>
      <c r="EQ83" s="289">
        <v>859039</v>
      </c>
      <c r="ER83" s="290">
        <f t="shared" si="31"/>
        <v>16.428013199340338</v>
      </c>
      <c r="ES83" s="291">
        <f t="shared" si="23"/>
        <v>6.6535399165091838E-2</v>
      </c>
      <c r="ET83" s="402">
        <v>0</v>
      </c>
      <c r="EV83" s="34"/>
      <c r="EW83" s="34"/>
      <c r="EX83" s="34"/>
      <c r="EY83" s="34"/>
      <c r="EZ83" s="378"/>
      <c r="FA83" s="401"/>
      <c r="FB83" s="402"/>
      <c r="FC83" s="402"/>
    </row>
    <row r="84" spans="1:159" ht="17" customHeight="1">
      <c r="EC84" s="412" t="s">
        <v>481</v>
      </c>
      <c r="ED84" s="412" t="s">
        <v>393</v>
      </c>
      <c r="EE84" s="412">
        <v>1032.4983</v>
      </c>
      <c r="EF84" s="412">
        <v>6.7817574509682552E-2</v>
      </c>
      <c r="EG84" s="413">
        <v>859040</v>
      </c>
      <c r="EH84" s="414">
        <f t="shared" si="29"/>
        <v>6.5243161900684221</v>
      </c>
      <c r="EI84" s="415">
        <f t="shared" si="30"/>
        <v>2.6424253299413274E-2</v>
      </c>
      <c r="EJ84" s="402">
        <v>0</v>
      </c>
      <c r="EM84" s="278" t="s">
        <v>481</v>
      </c>
      <c r="EN84" s="278" t="s">
        <v>393</v>
      </c>
      <c r="EO84" s="278">
        <v>1032.4983</v>
      </c>
      <c r="EP84" s="278">
        <v>6.7817574509682552E-2</v>
      </c>
      <c r="EQ84" s="289">
        <v>859040</v>
      </c>
      <c r="ER84" s="290">
        <f t="shared" si="31"/>
        <v>6.5243161900684221</v>
      </c>
      <c r="ES84" s="291">
        <f t="shared" si="23"/>
        <v>2.6424253299413274E-2</v>
      </c>
      <c r="ET84" s="402">
        <v>0</v>
      </c>
      <c r="EV84" s="34"/>
      <c r="EW84" s="34"/>
      <c r="EX84" s="34"/>
      <c r="EY84" s="34"/>
      <c r="EZ84" s="378"/>
      <c r="FA84" s="401"/>
      <c r="FB84" s="402"/>
      <c r="FC84" s="402"/>
    </row>
    <row r="85" spans="1:159" ht="17" customHeight="1">
      <c r="EC85" s="412" t="s">
        <v>481</v>
      </c>
      <c r="ED85" s="412" t="s">
        <v>130</v>
      </c>
      <c r="EE85" s="412">
        <v>1625.5998999999999</v>
      </c>
      <c r="EF85" s="412">
        <v>0.10677426039460067</v>
      </c>
      <c r="EG85" s="413">
        <v>859041</v>
      </c>
      <c r="EH85" s="414">
        <f t="shared" si="29"/>
        <v>10.272101897062308</v>
      </c>
      <c r="EI85" s="415">
        <f t="shared" si="30"/>
        <v>4.1603229294518831E-2</v>
      </c>
      <c r="EJ85" s="402">
        <v>0</v>
      </c>
      <c r="EM85" s="278" t="s">
        <v>481</v>
      </c>
      <c r="EN85" s="278" t="s">
        <v>130</v>
      </c>
      <c r="EO85" s="278">
        <v>1625.5998999999999</v>
      </c>
      <c r="EP85" s="278">
        <v>0.10677426039460067</v>
      </c>
      <c r="EQ85" s="289">
        <v>859041</v>
      </c>
      <c r="ER85" s="290">
        <f t="shared" si="31"/>
        <v>10.272101897062308</v>
      </c>
      <c r="ES85" s="291">
        <f t="shared" si="23"/>
        <v>4.1603229294518831E-2</v>
      </c>
      <c r="ET85" s="402">
        <v>0</v>
      </c>
      <c r="EV85" s="34"/>
      <c r="EW85" s="34"/>
      <c r="EX85" s="34"/>
      <c r="EY85" s="34"/>
      <c r="EZ85" s="378"/>
      <c r="FA85" s="401"/>
      <c r="FB85" s="402"/>
      <c r="FC85" s="402"/>
    </row>
    <row r="86" spans="1:159" ht="17" customHeight="1">
      <c r="EC86" s="412" t="s">
        <v>481</v>
      </c>
      <c r="ED86" s="412" t="s">
        <v>131</v>
      </c>
      <c r="EE86" s="412">
        <v>2880.0880999999999</v>
      </c>
      <c r="EF86" s="412">
        <v>0.18917279507017112</v>
      </c>
      <c r="EG86" s="413">
        <v>859042</v>
      </c>
      <c r="EH86" s="414">
        <f t="shared" si="29"/>
        <v>18.199163543081283</v>
      </c>
      <c r="EI86" s="415">
        <f t="shared" si="30"/>
        <v>7.3708767829473346E-2</v>
      </c>
      <c r="EJ86" s="402">
        <v>0</v>
      </c>
      <c r="EM86" s="278" t="s">
        <v>481</v>
      </c>
      <c r="EN86" s="278" t="s">
        <v>131</v>
      </c>
      <c r="EO86" s="278">
        <v>2880.0880999999999</v>
      </c>
      <c r="EP86" s="278">
        <v>0.18917279507017112</v>
      </c>
      <c r="EQ86" s="289">
        <v>859042</v>
      </c>
      <c r="ER86" s="290">
        <f t="shared" si="31"/>
        <v>18.199163543081283</v>
      </c>
      <c r="ES86" s="291">
        <f t="shared" si="23"/>
        <v>7.3708767829473346E-2</v>
      </c>
      <c r="ET86" s="402">
        <v>0</v>
      </c>
      <c r="EV86" s="34"/>
      <c r="EW86" s="34"/>
      <c r="EX86" s="34"/>
      <c r="EY86" s="34"/>
      <c r="EZ86" s="378"/>
      <c r="FA86" s="401"/>
      <c r="FB86" s="402"/>
      <c r="FC86" s="402"/>
    </row>
    <row r="87" spans="1:159" ht="17" customHeight="1">
      <c r="EC87" s="412" t="s">
        <v>481</v>
      </c>
      <c r="ED87" s="412" t="s">
        <v>132</v>
      </c>
      <c r="EE87" s="412">
        <v>687.99680000000001</v>
      </c>
      <c r="EF87" s="412">
        <v>4.5189686265268592E-2</v>
      </c>
      <c r="EG87" s="413">
        <v>859043</v>
      </c>
      <c r="EH87" s="414">
        <f t="shared" si="29"/>
        <v>4.3474247472903986</v>
      </c>
      <c r="EI87" s="415">
        <f t="shared" si="30"/>
        <v>1.7607585128600962E-2</v>
      </c>
      <c r="EJ87" s="402">
        <v>0</v>
      </c>
      <c r="EM87" s="278" t="s">
        <v>481</v>
      </c>
      <c r="EN87" s="278" t="s">
        <v>132</v>
      </c>
      <c r="EO87" s="278">
        <v>687.99680000000001</v>
      </c>
      <c r="EP87" s="278">
        <v>4.5189686265268592E-2</v>
      </c>
      <c r="EQ87" s="289">
        <v>859043</v>
      </c>
      <c r="ER87" s="290">
        <f t="shared" si="31"/>
        <v>4.3474247472903986</v>
      </c>
      <c r="ES87" s="291">
        <f t="shared" si="23"/>
        <v>1.7607585128600962E-2</v>
      </c>
      <c r="ET87" s="402">
        <v>0</v>
      </c>
      <c r="EV87" s="34"/>
      <c r="EW87" s="34"/>
      <c r="EX87" s="34"/>
      <c r="EY87" s="34"/>
      <c r="EZ87" s="378"/>
      <c r="FA87" s="401"/>
      <c r="FB87" s="402"/>
      <c r="FC87" s="402"/>
    </row>
    <row r="88" spans="1:159" ht="17" customHeight="1">
      <c r="EC88" s="412" t="s">
        <v>481</v>
      </c>
      <c r="ED88" s="412" t="s">
        <v>133</v>
      </c>
      <c r="EE88" s="412">
        <v>2308.0711000000001</v>
      </c>
      <c r="EF88" s="412">
        <v>0.15160100873569959</v>
      </c>
      <c r="EG88" s="413">
        <v>859044</v>
      </c>
      <c r="EH88" s="414">
        <f t="shared" si="29"/>
        <v>14.58461059505767</v>
      </c>
      <c r="EI88" s="415">
        <f t="shared" si="30"/>
        <v>5.9069400288073531E-2</v>
      </c>
      <c r="EJ88" s="402">
        <v>0</v>
      </c>
      <c r="EM88" s="278" t="s">
        <v>481</v>
      </c>
      <c r="EN88" s="278" t="s">
        <v>133</v>
      </c>
      <c r="EO88" s="278">
        <v>2308.0711000000001</v>
      </c>
      <c r="EP88" s="278">
        <v>0.15160100873569959</v>
      </c>
      <c r="EQ88" s="289">
        <v>859044</v>
      </c>
      <c r="ER88" s="290">
        <f t="shared" si="31"/>
        <v>14.58461059505767</v>
      </c>
      <c r="ES88" s="291">
        <f t="shared" si="23"/>
        <v>5.9069400288073531E-2</v>
      </c>
      <c r="ET88" s="402">
        <v>0</v>
      </c>
      <c r="EV88" s="34"/>
      <c r="EW88" s="34"/>
      <c r="EX88" s="34"/>
      <c r="EY88" s="34"/>
      <c r="EZ88" s="378"/>
      <c r="FA88" s="401"/>
      <c r="FB88" s="402"/>
      <c r="FC88" s="402"/>
    </row>
    <row r="89" spans="1:159" ht="17" customHeight="1">
      <c r="EC89" s="412" t="s">
        <v>481</v>
      </c>
      <c r="ED89" s="412" t="s">
        <v>134</v>
      </c>
      <c r="EE89" s="412">
        <v>4090.5911999999998</v>
      </c>
      <c r="EF89" s="412">
        <v>0.26868225690507364</v>
      </c>
      <c r="EG89" s="413">
        <v>859045</v>
      </c>
      <c r="EH89" s="414">
        <f t="shared" si="29"/>
        <v>25.848285070407783</v>
      </c>
      <c r="EI89" s="415">
        <f t="shared" si="30"/>
        <v>0.10468861596493759</v>
      </c>
      <c r="EJ89" s="402">
        <v>0</v>
      </c>
      <c r="EM89" s="278" t="s">
        <v>481</v>
      </c>
      <c r="EN89" s="278" t="s">
        <v>134</v>
      </c>
      <c r="EO89" s="278">
        <v>4090.5911999999998</v>
      </c>
      <c r="EP89" s="278">
        <v>0.26868225690507364</v>
      </c>
      <c r="EQ89" s="289">
        <v>859045</v>
      </c>
      <c r="ER89" s="290">
        <f t="shared" si="31"/>
        <v>25.848285070407783</v>
      </c>
      <c r="ES89" s="291">
        <f t="shared" si="23"/>
        <v>0.10468861596493759</v>
      </c>
      <c r="ET89" s="402">
        <v>0</v>
      </c>
      <c r="EV89" s="34"/>
      <c r="EW89" s="34"/>
      <c r="EX89" s="34"/>
      <c r="EY89" s="34"/>
      <c r="EZ89" s="378"/>
      <c r="FA89" s="401"/>
      <c r="FB89" s="402"/>
      <c r="FC89" s="402"/>
    </row>
    <row r="90" spans="1:159" ht="17" customHeight="1">
      <c r="EH90" s="230">
        <f>SUM(EH45:EH89)</f>
        <v>11480.706768974527</v>
      </c>
      <c r="EI90" s="230">
        <f>SUM(EI45:EI89)</f>
        <v>46.498222171002681</v>
      </c>
      <c r="EJ90">
        <f>SUM(EJ45:EJ89)</f>
        <v>1457.9424508320519</v>
      </c>
      <c r="ER90" s="230">
        <f>SUM(ER45:ER89)</f>
        <v>11480.706768974527</v>
      </c>
      <c r="ES90" s="230">
        <f>SUM(ES45:ES89)</f>
        <v>46.498222171002681</v>
      </c>
      <c r="ET90" s="230">
        <f>SUM(ET45:ET89)</f>
        <v>1457.9424508320519</v>
      </c>
      <c r="FA90" s="230"/>
    </row>
    <row r="91" spans="1:159" s="227" customFormat="1" ht="25.5">
      <c r="A91" s="285">
        <v>2025</v>
      </c>
      <c r="EH91" s="227">
        <f t="shared" ref="EH91:EI91" si="36">EH90</f>
        <v>11480.706768974527</v>
      </c>
      <c r="EI91" s="227">
        <f t="shared" si="36"/>
        <v>46.498222171002681</v>
      </c>
      <c r="EJ91" s="227">
        <f>EJ90</f>
        <v>1457.9424508320519</v>
      </c>
      <c r="ER91" s="230"/>
      <c r="ES91" s="230"/>
    </row>
    <row r="92" spans="1:159" ht="25.5" customHeight="1" thickBot="1">
      <c r="A92" s="32" t="s">
        <v>469</v>
      </c>
      <c r="C92" t="s">
        <v>463</v>
      </c>
      <c r="D92" t="s">
        <v>467</v>
      </c>
      <c r="E92" t="s">
        <v>464</v>
      </c>
      <c r="F92" t="s">
        <v>465</v>
      </c>
      <c r="G92" t="s">
        <v>466</v>
      </c>
      <c r="H92" t="s">
        <v>21</v>
      </c>
      <c r="K92" s="32" t="s">
        <v>471</v>
      </c>
      <c r="CV92" s="32" t="s">
        <v>492</v>
      </c>
      <c r="CY92" t="s">
        <v>478</v>
      </c>
      <c r="CZ92" t="s">
        <v>479</v>
      </c>
      <c r="EC92" s="353" t="s">
        <v>858</v>
      </c>
      <c r="EI92" t="s">
        <v>599</v>
      </c>
      <c r="ES92" t="s">
        <v>600</v>
      </c>
      <c r="EV92" s="353"/>
    </row>
    <row r="93" spans="1:159" ht="25.5" customHeight="1">
      <c r="A93" t="s">
        <v>462</v>
      </c>
      <c r="C93" t="s">
        <v>427</v>
      </c>
      <c r="D93" t="s">
        <v>428</v>
      </c>
      <c r="E93" t="s">
        <v>429</v>
      </c>
      <c r="F93" t="s">
        <v>430</v>
      </c>
      <c r="G93" t="s">
        <v>431</v>
      </c>
      <c r="H93" t="s">
        <v>457</v>
      </c>
      <c r="K93" s="159" t="s">
        <v>482</v>
      </c>
      <c r="L93" s="159"/>
      <c r="M93" s="538" t="s">
        <v>463</v>
      </c>
      <c r="N93" s="539"/>
      <c r="O93" s="539"/>
      <c r="P93" s="539"/>
      <c r="Q93" s="539"/>
      <c r="R93" s="539"/>
      <c r="S93" s="539"/>
      <c r="T93" s="539"/>
      <c r="U93" s="539"/>
      <c r="V93" s="539"/>
      <c r="W93" s="539"/>
      <c r="X93" s="539"/>
      <c r="Y93" s="539"/>
      <c r="Z93" s="540"/>
      <c r="AA93" s="538" t="s">
        <v>467</v>
      </c>
      <c r="AB93" s="539"/>
      <c r="AC93" s="539"/>
      <c r="AD93" s="539"/>
      <c r="AE93" s="539"/>
      <c r="AF93" s="539"/>
      <c r="AG93" s="539"/>
      <c r="AH93" s="539"/>
      <c r="AI93" s="539"/>
      <c r="AJ93" s="539"/>
      <c r="AK93" s="539"/>
      <c r="AL93" s="539"/>
      <c r="AM93" s="539"/>
      <c r="AN93" s="540"/>
      <c r="AO93" s="538" t="s">
        <v>464</v>
      </c>
      <c r="AP93" s="539"/>
      <c r="AQ93" s="539"/>
      <c r="AR93" s="539"/>
      <c r="AS93" s="539"/>
      <c r="AT93" s="539"/>
      <c r="AU93" s="539"/>
      <c r="AV93" s="539"/>
      <c r="AW93" s="539"/>
      <c r="AX93" s="539"/>
      <c r="AY93" s="539"/>
      <c r="AZ93" s="539"/>
      <c r="BA93" s="539"/>
      <c r="BB93" s="540"/>
      <c r="BC93" s="538" t="s">
        <v>465</v>
      </c>
      <c r="BD93" s="539"/>
      <c r="BE93" s="539"/>
      <c r="BF93" s="539"/>
      <c r="BG93" s="539"/>
      <c r="BH93" s="539"/>
      <c r="BI93" s="539"/>
      <c r="BJ93" s="539"/>
      <c r="BK93" s="539"/>
      <c r="BL93" s="539"/>
      <c r="BM93" s="539"/>
      <c r="BN93" s="539"/>
      <c r="BO93" s="539"/>
      <c r="BP93" s="540"/>
      <c r="BQ93" s="538" t="s">
        <v>466</v>
      </c>
      <c r="BR93" s="539"/>
      <c r="BS93" s="539"/>
      <c r="BT93" s="539"/>
      <c r="BU93" s="539"/>
      <c r="BV93" s="539"/>
      <c r="BW93" s="539"/>
      <c r="BX93" s="539"/>
      <c r="BY93" s="539"/>
      <c r="BZ93" s="539"/>
      <c r="CA93" s="539"/>
      <c r="CB93" s="539"/>
      <c r="CC93" s="539"/>
      <c r="CD93" s="540"/>
      <c r="CE93" s="538" t="s">
        <v>21</v>
      </c>
      <c r="CF93" s="539"/>
      <c r="CG93" s="539"/>
      <c r="CH93" s="539"/>
      <c r="CI93" s="539"/>
      <c r="CJ93" s="539"/>
      <c r="CK93" s="539"/>
      <c r="CL93" s="539"/>
      <c r="CM93" s="539"/>
      <c r="CN93" s="539"/>
      <c r="CO93" s="539"/>
      <c r="CP93" s="539"/>
      <c r="CQ93" s="539"/>
      <c r="CR93" s="540"/>
      <c r="CV93" s="263" t="s">
        <v>482</v>
      </c>
      <c r="CW93" s="263"/>
      <c r="CX93" s="541" t="s">
        <v>554</v>
      </c>
      <c r="CY93" s="541"/>
      <c r="CZ93" s="541"/>
      <c r="DA93" s="541"/>
      <c r="DB93" s="542" t="s">
        <v>553</v>
      </c>
      <c r="DC93" s="541"/>
      <c r="DD93" s="541"/>
      <c r="DE93" s="541"/>
      <c r="DF93" s="542" t="s">
        <v>464</v>
      </c>
      <c r="DG93" s="541"/>
      <c r="DH93" s="541"/>
      <c r="DI93" s="541"/>
      <c r="DJ93" s="542" t="s">
        <v>465</v>
      </c>
      <c r="DK93" s="541"/>
      <c r="DL93" s="541"/>
      <c r="DM93" s="541"/>
      <c r="DN93" s="542" t="s">
        <v>466</v>
      </c>
      <c r="DO93" s="541"/>
      <c r="DP93" s="541"/>
      <c r="DQ93" s="541"/>
      <c r="DR93" s="542" t="s">
        <v>21</v>
      </c>
      <c r="DS93" s="541"/>
      <c r="DT93" s="541"/>
      <c r="DU93" s="541"/>
      <c r="DW93" s="278"/>
      <c r="DX93" s="278"/>
      <c r="DY93" s="442" t="s">
        <v>588</v>
      </c>
      <c r="DZ93" s="442"/>
      <c r="EC93" s="412" t="s">
        <v>564</v>
      </c>
      <c r="ED93" s="412" t="s">
        <v>565</v>
      </c>
      <c r="EE93" s="412" t="s">
        <v>566</v>
      </c>
      <c r="EF93" s="412" t="s">
        <v>562</v>
      </c>
      <c r="EG93" s="417" t="s">
        <v>597</v>
      </c>
      <c r="EH93" s="418" t="s">
        <v>585</v>
      </c>
      <c r="EI93" s="419" t="s">
        <v>536</v>
      </c>
      <c r="EJ93" s="377" t="s">
        <v>856</v>
      </c>
      <c r="EM93" s="278" t="s">
        <v>564</v>
      </c>
      <c r="EN93" s="278" t="s">
        <v>565</v>
      </c>
      <c r="EO93" s="278" t="s">
        <v>566</v>
      </c>
      <c r="EP93" s="278" t="s">
        <v>562</v>
      </c>
      <c r="EQ93" s="286" t="s">
        <v>598</v>
      </c>
      <c r="ER93" s="287" t="s">
        <v>820</v>
      </c>
      <c r="ES93" s="288" t="s">
        <v>536</v>
      </c>
      <c r="ET93" s="377" t="s">
        <v>821</v>
      </c>
      <c r="EV93" s="34"/>
      <c r="EW93" s="34"/>
      <c r="EX93" s="34"/>
      <c r="EY93" s="34"/>
      <c r="EZ93" s="375"/>
      <c r="FA93" s="376"/>
      <c r="FB93" s="377"/>
      <c r="FC93" s="377"/>
    </row>
    <row r="94" spans="1:159">
      <c r="A94" s="199"/>
      <c r="B94" s="199"/>
      <c r="C94" s="202" t="s">
        <v>463</v>
      </c>
      <c r="D94" s="202" t="s">
        <v>467</v>
      </c>
      <c r="E94" s="202" t="s">
        <v>464</v>
      </c>
      <c r="F94" s="202" t="s">
        <v>465</v>
      </c>
      <c r="G94" s="202" t="s">
        <v>466</v>
      </c>
      <c r="H94" s="202" t="s">
        <v>21</v>
      </c>
      <c r="K94" s="159"/>
      <c r="L94" s="159"/>
      <c r="M94" s="211" t="s">
        <v>472</v>
      </c>
      <c r="N94" s="160" t="s">
        <v>156</v>
      </c>
      <c r="O94" s="160" t="s">
        <v>475</v>
      </c>
      <c r="P94" s="160" t="s">
        <v>476</v>
      </c>
      <c r="Q94" s="160" t="s">
        <v>477</v>
      </c>
      <c r="R94" s="160" t="s">
        <v>478</v>
      </c>
      <c r="S94" s="160" t="s">
        <v>479</v>
      </c>
      <c r="T94" s="160" t="s">
        <v>480</v>
      </c>
      <c r="U94" s="160" t="s">
        <v>449</v>
      </c>
      <c r="V94" s="160" t="s">
        <v>157</v>
      </c>
      <c r="W94" s="160" t="s">
        <v>473</v>
      </c>
      <c r="X94" s="160" t="s">
        <v>474</v>
      </c>
      <c r="Y94" s="160" t="s">
        <v>46</v>
      </c>
      <c r="Z94" s="212" t="s">
        <v>11</v>
      </c>
      <c r="AA94" s="211" t="s">
        <v>472</v>
      </c>
      <c r="AB94" s="160" t="s">
        <v>156</v>
      </c>
      <c r="AC94" s="160" t="s">
        <v>475</v>
      </c>
      <c r="AD94" s="160" t="s">
        <v>476</v>
      </c>
      <c r="AE94" s="160" t="s">
        <v>477</v>
      </c>
      <c r="AF94" s="160" t="s">
        <v>478</v>
      </c>
      <c r="AG94" s="160" t="s">
        <v>479</v>
      </c>
      <c r="AH94" s="160" t="s">
        <v>480</v>
      </c>
      <c r="AI94" s="160" t="s">
        <v>449</v>
      </c>
      <c r="AJ94" s="160" t="s">
        <v>157</v>
      </c>
      <c r="AK94" s="160" t="s">
        <v>473</v>
      </c>
      <c r="AL94" s="160" t="s">
        <v>474</v>
      </c>
      <c r="AM94" s="160" t="s">
        <v>46</v>
      </c>
      <c r="AN94" s="212" t="s">
        <v>11</v>
      </c>
      <c r="AO94" s="211" t="s">
        <v>472</v>
      </c>
      <c r="AP94" s="160" t="s">
        <v>156</v>
      </c>
      <c r="AQ94" s="160" t="s">
        <v>475</v>
      </c>
      <c r="AR94" s="160" t="s">
        <v>476</v>
      </c>
      <c r="AS94" s="160" t="s">
        <v>477</v>
      </c>
      <c r="AT94" s="160" t="s">
        <v>478</v>
      </c>
      <c r="AU94" s="160" t="s">
        <v>479</v>
      </c>
      <c r="AV94" s="160" t="s">
        <v>480</v>
      </c>
      <c r="AW94" s="160" t="s">
        <v>449</v>
      </c>
      <c r="AX94" s="160" t="s">
        <v>157</v>
      </c>
      <c r="AY94" s="160" t="s">
        <v>473</v>
      </c>
      <c r="AZ94" s="160" t="s">
        <v>474</v>
      </c>
      <c r="BA94" s="160" t="s">
        <v>46</v>
      </c>
      <c r="BB94" s="212" t="s">
        <v>11</v>
      </c>
      <c r="BC94" s="211" t="s">
        <v>472</v>
      </c>
      <c r="BD94" s="160" t="s">
        <v>156</v>
      </c>
      <c r="BE94" s="160" t="s">
        <v>475</v>
      </c>
      <c r="BF94" s="160" t="s">
        <v>476</v>
      </c>
      <c r="BG94" s="160" t="s">
        <v>477</v>
      </c>
      <c r="BH94" s="160" t="s">
        <v>478</v>
      </c>
      <c r="BI94" s="160" t="s">
        <v>479</v>
      </c>
      <c r="BJ94" s="160" t="s">
        <v>480</v>
      </c>
      <c r="BK94" s="160" t="s">
        <v>449</v>
      </c>
      <c r="BL94" s="160" t="s">
        <v>157</v>
      </c>
      <c r="BM94" s="160" t="s">
        <v>473</v>
      </c>
      <c r="BN94" s="160" t="s">
        <v>474</v>
      </c>
      <c r="BO94" s="160" t="s">
        <v>46</v>
      </c>
      <c r="BP94" s="212" t="s">
        <v>11</v>
      </c>
      <c r="BQ94" s="211" t="s">
        <v>472</v>
      </c>
      <c r="BR94" s="160" t="s">
        <v>156</v>
      </c>
      <c r="BS94" s="160" t="s">
        <v>475</v>
      </c>
      <c r="BT94" s="160" t="s">
        <v>476</v>
      </c>
      <c r="BU94" s="160" t="s">
        <v>477</v>
      </c>
      <c r="BV94" s="160" t="s">
        <v>478</v>
      </c>
      <c r="BW94" s="160" t="s">
        <v>479</v>
      </c>
      <c r="BX94" s="160" t="s">
        <v>480</v>
      </c>
      <c r="BY94" s="160" t="s">
        <v>449</v>
      </c>
      <c r="BZ94" s="160" t="s">
        <v>157</v>
      </c>
      <c r="CA94" s="160" t="s">
        <v>473</v>
      </c>
      <c r="CB94" s="160" t="s">
        <v>474</v>
      </c>
      <c r="CC94" s="160" t="s">
        <v>46</v>
      </c>
      <c r="CD94" s="212" t="s">
        <v>11</v>
      </c>
      <c r="CE94" s="211" t="s">
        <v>472</v>
      </c>
      <c r="CF94" s="160" t="s">
        <v>156</v>
      </c>
      <c r="CG94" s="160" t="s">
        <v>475</v>
      </c>
      <c r="CH94" s="160" t="s">
        <v>476</v>
      </c>
      <c r="CI94" s="160" t="s">
        <v>477</v>
      </c>
      <c r="CJ94" s="160" t="s">
        <v>478</v>
      </c>
      <c r="CK94" s="160" t="s">
        <v>479</v>
      </c>
      <c r="CL94" s="160" t="s">
        <v>480</v>
      </c>
      <c r="CM94" s="160" t="s">
        <v>449</v>
      </c>
      <c r="CN94" s="160" t="s">
        <v>157</v>
      </c>
      <c r="CO94" s="160" t="s">
        <v>473</v>
      </c>
      <c r="CP94" s="160" t="s">
        <v>474</v>
      </c>
      <c r="CQ94" s="160" t="s">
        <v>46</v>
      </c>
      <c r="CR94" s="212" t="s">
        <v>11</v>
      </c>
      <c r="CV94" s="263"/>
      <c r="CW94" s="263"/>
      <c r="CX94" s="264" t="s">
        <v>156</v>
      </c>
      <c r="CY94" s="264" t="s">
        <v>478</v>
      </c>
      <c r="CZ94" s="264" t="s">
        <v>479</v>
      </c>
      <c r="DA94" s="264" t="s">
        <v>157</v>
      </c>
      <c r="DB94" s="264" t="s">
        <v>156</v>
      </c>
      <c r="DC94" s="264" t="s">
        <v>478</v>
      </c>
      <c r="DD94" s="264" t="s">
        <v>479</v>
      </c>
      <c r="DE94" s="264" t="s">
        <v>157</v>
      </c>
      <c r="DF94" s="264" t="s">
        <v>156</v>
      </c>
      <c r="DG94" s="264" t="s">
        <v>478</v>
      </c>
      <c r="DH94" s="264" t="s">
        <v>479</v>
      </c>
      <c r="DI94" s="264" t="s">
        <v>157</v>
      </c>
      <c r="DJ94" s="264" t="s">
        <v>156</v>
      </c>
      <c r="DK94" s="264" t="s">
        <v>478</v>
      </c>
      <c r="DL94" s="264" t="s">
        <v>479</v>
      </c>
      <c r="DM94" s="264" t="s">
        <v>157</v>
      </c>
      <c r="DN94" s="264" t="s">
        <v>156</v>
      </c>
      <c r="DO94" s="264" t="s">
        <v>478</v>
      </c>
      <c r="DP94" s="264" t="s">
        <v>479</v>
      </c>
      <c r="DQ94" s="264" t="s">
        <v>157</v>
      </c>
      <c r="DR94" s="264" t="s">
        <v>156</v>
      </c>
      <c r="DS94" s="264" t="s">
        <v>478</v>
      </c>
      <c r="DT94" s="264" t="s">
        <v>479</v>
      </c>
      <c r="DU94" s="264" t="s">
        <v>157</v>
      </c>
      <c r="DW94" s="278"/>
      <c r="DX94" s="278"/>
      <c r="DY94" s="280" t="s">
        <v>586</v>
      </c>
      <c r="DZ94" s="280" t="s">
        <v>587</v>
      </c>
      <c r="EC94" s="412" t="s">
        <v>12</v>
      </c>
      <c r="ED94" s="412" t="s">
        <v>567</v>
      </c>
      <c r="EE94" s="412">
        <v>11477.778199999999</v>
      </c>
      <c r="EF94" s="412">
        <v>1</v>
      </c>
      <c r="EG94" s="413">
        <v>859001</v>
      </c>
      <c r="EH94" s="414">
        <f>VLOOKUP($EM94,$DX$94:$DZ$103,2,FALSE)*$EF94*$BB$11*(1-$BD$7)</f>
        <v>48.255427807535355</v>
      </c>
      <c r="EI94" s="415">
        <f>VLOOKUP($EM94,$DX$94:$DZ$103,3,FALSE)*$EF94*$BB$11*(1-$BD$7)</f>
        <v>0.19193480303541943</v>
      </c>
      <c r="EJ94" s="402">
        <v>0</v>
      </c>
      <c r="EM94" s="278" t="s">
        <v>12</v>
      </c>
      <c r="EN94" s="278" t="s">
        <v>567</v>
      </c>
      <c r="EO94" s="278">
        <v>11477.778199999999</v>
      </c>
      <c r="EP94" s="278">
        <v>1</v>
      </c>
      <c r="EQ94" s="289">
        <v>859001</v>
      </c>
      <c r="ER94" s="290">
        <f t="shared" ref="ER94:ER138" si="37">EH94*$EA$38</f>
        <v>48.255427807535355</v>
      </c>
      <c r="ES94" s="291">
        <f t="shared" ref="ES94:ES138" si="38">EI94*$EA$38</f>
        <v>0.19193480303541943</v>
      </c>
      <c r="ET94" s="402">
        <v>0</v>
      </c>
      <c r="EV94" s="34"/>
      <c r="EW94" s="34"/>
      <c r="EX94" s="34"/>
      <c r="EY94" s="34"/>
      <c r="EZ94" s="378"/>
      <c r="FA94" s="401"/>
      <c r="FB94" s="402"/>
      <c r="FC94" s="402"/>
    </row>
    <row r="95" spans="1:159">
      <c r="A95" s="205"/>
      <c r="B95" s="205" t="s">
        <v>12</v>
      </c>
      <c r="C95" s="400">
        <f>'A.일산테크노밸리(859991)_수정'!$P28*KTDB_TripDistribution_2035!T$12 * (1+KTDB_발생량도착량_증가율!$D$8 *5) * (1+KTDB_발생량도착량_증가율!$E$8 *5)</f>
        <v>19.465701669006719</v>
      </c>
      <c r="D95" s="400">
        <f>'A.일산테크노밸리(859991)_수정'!$P28*KTDB_TripDistribution_2035!U$12 * (1+KTDB_발생량도착량_증가율!$D$8 *5) * (1+KTDB_발생량도착량_증가율!$E$8 *5)</f>
        <v>140.87726530498367</v>
      </c>
      <c r="E95" s="400">
        <f>'A.일산테크노밸리(859991)_수정'!$P28*KTDB_TripDistribution_2035!V$12 * (1+KTDB_발생량도착량_증가율!$D$8 *5) * (1+KTDB_발생량도착량_증가율!$E$8 *5)</f>
        <v>8.0817800100334694</v>
      </c>
      <c r="F95" s="400">
        <f>'A.일산테크노밸리(859991)_수정'!$P28*KTDB_TripDistribution_2035!W$12 * (1+KTDB_발생량도착량_증가율!$D$8 *5) * (1+KTDB_발생량도착량_증가율!$E$8 *5)</f>
        <v>1.2700544803614619E-2</v>
      </c>
      <c r="G95" s="400">
        <f>'A.일산테크노밸리(859991)_수정'!$P28*KTDB_TripDistribution_2035!X$12 * (1+KTDB_발생량도착량_증가율!$D$8 *5) * (1+KTDB_발생량도착량_증가율!$E$8 *5)</f>
        <v>4.7979835924766498E-2</v>
      </c>
      <c r="H95" s="400">
        <f>'A.일산테크노밸리(859991)_수정'!$P28*KTDB_TripDistribution_2035!Y$12 * (1+KTDB_발생량도착량_증가율!$D$8 *5) * (1+KTDB_발생량도착량_증가율!$E$8 *5)</f>
        <v>168.48542736475224</v>
      </c>
      <c r="J95" s="230">
        <f>CR95</f>
        <v>168.48542736475221</v>
      </c>
      <c r="K95" s="206"/>
      <c r="L95" s="209" t="s">
        <v>12</v>
      </c>
      <c r="M95" s="213">
        <f>INDEX($A$94:$H$106,MATCH($L95,$B$94:$B$106,0),MATCH($M$93,$A$94:$H$94,0))*고양시_Modal_split!C$3 * 0.01</f>
        <v>5.4503964673218816E-2</v>
      </c>
      <c r="N95" s="213">
        <f>INDEX($A$94:$H$106,MATCH($L95,$B$94:$B$106,0),MATCH($M$93,$A$94:$H$94,0))*고양시_Modal_split!D$3 * 0.01</f>
        <v>9.1547194949338611</v>
      </c>
      <c r="O95" s="213">
        <f>INDEX($A$94:$H$106,MATCH($L95,$B$94:$B$106,0),MATCH($M$93,$A$94:$H$94,0))*고양시_Modal_split!E$3 * 0.01</f>
        <v>1.1075984249664823</v>
      </c>
      <c r="P95" s="213">
        <f>INDEX($A$94:$H$106,MATCH($L95,$B$94:$B$106,0),MATCH($M$93,$A$94:$H$94,0))*고양시_Modal_split!F$3 * 0.01</f>
        <v>1.7850048430479164</v>
      </c>
      <c r="Q95" s="213">
        <f>INDEX($A$94:$H$106,MATCH($L95,$B$94:$B$106,0),MATCH($M$93,$A$94:$H$94,0))*고양시_Modal_split!G$3 * 0.01</f>
        <v>0.17908445535486181</v>
      </c>
      <c r="R95" s="213">
        <f>INDEX($A$94:$H$106,MATCH($L95,$B$94:$B$106,0),MATCH($M$93,$A$94:$H$94,0))*고양시_Modal_split!H$3 * 0.01</f>
        <v>1.946570166900672E-3</v>
      </c>
      <c r="S95" s="213">
        <f>INDEX($A$94:$H$106,MATCH($L95,$B$94:$B$106,0),MATCH($M$93,$A$94:$H$94,0))*고양시_Modal_split!I$3 * 0.01</f>
        <v>0.5411465063983868</v>
      </c>
      <c r="T95" s="213">
        <f>INDEX($A$94:$H$106,MATCH($L95,$B$94:$B$106,0),MATCH($M$93,$A$94:$H$94,0))*고양시_Modal_split!J$3 * 0.01</f>
        <v>5.9253595880456453</v>
      </c>
      <c r="U95" s="213">
        <f>INDEX($A$94:$H$106,MATCH($L95,$B$94:$B$106,0),MATCH($M$93,$A$94:$H$94,0))*고양시_Modal_split!K$3 * 0.01</f>
        <v>2.919855250351008E-2</v>
      </c>
      <c r="V95" s="213">
        <f>INDEX($A$94:$H$106,MATCH($L95,$B$94:$B$106,0),MATCH($M$93,$A$94:$H$94,0))*고양시_Modal_split!L$3 * 0.01</f>
        <v>0.58786419040400295</v>
      </c>
      <c r="W95" s="213">
        <f>INDEX($A$94:$H$106,MATCH($L95,$B$94:$B$106,0),MATCH($M$93,$A$94:$H$94,0))*고양시_Modal_split!M$3 * 0.01</f>
        <v>4.4771113838715453E-2</v>
      </c>
      <c r="X95" s="213">
        <f>INDEX($A$94:$H$106,MATCH($L95,$B$94:$B$106,0),MATCH($M$93,$A$94:$H$94,0))*고양시_Modal_split!N$3 * 0.01</f>
        <v>1.946570166900672E-2</v>
      </c>
      <c r="Y95" s="213">
        <f>INDEX($A$94:$H$106,MATCH($L95,$B$94:$B$106,0),MATCH($M$93,$A$94:$H$94,0))*고양시_Modal_split!O$3 * 0.01</f>
        <v>3.5038263004212096E-2</v>
      </c>
      <c r="Z95" s="213">
        <f>INDEX($A$94:$H$106,MATCH($L95,$B$94:$B$106,0),MATCH($M$93,$A$94:$H$94,0))*고양시_Modal_split!P$3 * 0.01</f>
        <v>19.465701669006719</v>
      </c>
      <c r="AA95" s="213">
        <f>INDEX($A$94:$H$106,MATCH($L95,$B$94:$B$106,0),MATCH($AA$93,$A$94:$H$94,0))*고양시_Modal_split!C$4 * 0.01</f>
        <v>42.883039558837027</v>
      </c>
      <c r="AB95" s="213">
        <f>INDEX($A$94:$H$106,MATCH($L95,$B$94:$B$106,0),MATCH($AA$93,$A$94:$H$94,0))*고양시_Modal_split!D$4 * 0.01</f>
        <v>45.179338983308263</v>
      </c>
      <c r="AC95" s="213">
        <f>INDEX($A$94:$H$106,MATCH($L95,$B$94:$B$106,0),MATCH($AA$93,$A$94:$H$94,0))*고양시_Modal_split!E$4 * 0.01</f>
        <v>10.946163514197231</v>
      </c>
      <c r="AD95" s="213">
        <f>INDEX($A$94:$H$106,MATCH($L95,$B$94:$B$106,0),MATCH($AA$93,$A$94:$H$94,0))*고양시_Modal_split!F$4 * 0.01</f>
        <v>1.3383340203973446</v>
      </c>
      <c r="AE95" s="213">
        <f>INDEX($A$94:$H$106,MATCH($L95,$B$94:$B$106,0),MATCH($AA$93,$A$94:$H$94,0))*고양시_Modal_split!G$4 * 0.01</f>
        <v>16.496727767213585</v>
      </c>
      <c r="AF95" s="213">
        <f>INDEX($A$94:$H$106,MATCH($L95,$B$94:$B$106,0),MATCH($AA$93,$A$94:$H$94,0))*고양시_Modal_split!H$4 * 0.01</f>
        <v>0</v>
      </c>
      <c r="AG95" s="213">
        <f>INDEX($A$94:$H$106,MATCH($L95,$B$94:$B$106,0),MATCH($AA$93,$A$94:$H$94,0))*고양시_Modal_split!I$4 * 0.01</f>
        <v>4.9025288326134309</v>
      </c>
      <c r="AH95" s="213">
        <f>INDEX($A$94:$H$106,MATCH($L95,$B$94:$B$106,0),MATCH($AA$93,$A$94:$H$94,0))*고양시_Modal_split!J$4 * 0.01</f>
        <v>6.6353191958647306</v>
      </c>
      <c r="AI95" s="213">
        <f>INDEX($A$94:$H$106,MATCH($L95,$B$94:$B$106,0),MATCH($AA$93,$A$94:$H$94,0))*고양시_Modal_split!K$4 * 0.01</f>
        <v>0</v>
      </c>
      <c r="AJ95" s="213">
        <f>INDEX($A$94:$H$106,MATCH($L95,$B$94:$B$106,0),MATCH($AA$93,$A$94:$H$94,0))*고양시_Modal_split!L$4 * 0.01</f>
        <v>6.5085296570902464</v>
      </c>
      <c r="AK95" s="213">
        <f>INDEX($A$94:$H$106,MATCH($L95,$B$94:$B$106,0),MATCH($AA$93,$A$94:$H$94,0))*고양시_Modal_split!M$4 * 0.01</f>
        <v>0.94387767754339069</v>
      </c>
      <c r="AL95" s="213">
        <f>INDEX($A$94:$H$106,MATCH($L95,$B$94:$B$106,0),MATCH($AA$93,$A$94:$H$94,0))*고양시_Modal_split!N$4 * 0.01</f>
        <v>3.5219316326245917</v>
      </c>
      <c r="AM95" s="213">
        <f>INDEX($A$94:$H$106,MATCH($L95,$B$94:$B$106,0),MATCH($AA$93,$A$94:$H$94,0))*고양시_Modal_split!O$4 * 0.01</f>
        <v>1.5214744652938237</v>
      </c>
      <c r="AN95" s="213">
        <f>INDEX($A$94:$H$106,MATCH($L95,$B$94:$B$106,0),MATCH($AA$93,$A$94:$H$94,0))*고양시_Modal_split!P$4 * 0.01</f>
        <v>140.87726530498367</v>
      </c>
      <c r="AO95" s="213">
        <f>INDEX($A$94:$H$106,MATCH($L95,$B$94:$B$106,0),MATCH($AO$93,$A$94:$H$94,0))*고양시_Modal_split!C$5 * 0.01</f>
        <v>4.8490680060200818E-3</v>
      </c>
      <c r="AP95" s="213">
        <f>INDEX($A$94:$H$106,MATCH($L95,$B$94:$B$106,0),MATCH($AO$93,$A$94:$H$94,0))*고양시_Modal_split!D$5 * 0.01</f>
        <v>5.9223283913525266</v>
      </c>
      <c r="AQ95" s="213">
        <f>INDEX($A$94:$H$106,MATCH($L95,$B$94:$B$106,0),MATCH($AO$93,$A$94:$H$94,0))*고양시_Modal_split!E$5 * 0.01</f>
        <v>0.79605533098829673</v>
      </c>
      <c r="AR95" s="213">
        <f>INDEX($A$94:$H$106,MATCH($L95,$B$94:$B$106,0),MATCH($AO$93,$A$94:$H$94,0))*고양시_Modal_split!F$5 * 0.01</f>
        <v>0.16971738021070287</v>
      </c>
      <c r="AS95" s="213">
        <f>INDEX($A$94:$H$106,MATCH($L95,$B$94:$B$106,0),MATCH($AO$93,$A$94:$H$94,0))*고양시_Modal_split!G$5 * 0.01</f>
        <v>5.2531570065217553E-2</v>
      </c>
      <c r="AT95" s="213">
        <f>INDEX($A$94:$H$106,MATCH($L95,$B$94:$B$106,0),MATCH($AO$93,$A$94:$H$94,0))*고양시_Modal_split!H$5 * 0.01</f>
        <v>5.6572460070234273E-3</v>
      </c>
      <c r="AU95" s="213">
        <f>INDEX($A$94:$H$106,MATCH($L95,$B$94:$B$106,0),MATCH($AO$93,$A$94:$H$94,0))*고양시_Modal_split!I$5 * 0.01</f>
        <v>0.22386530627792708</v>
      </c>
      <c r="AV95" s="213">
        <f>INDEX($A$94:$H$106,MATCH($L95,$B$94:$B$106,0),MATCH($AO$93,$A$94:$H$94,0))*고양시_Modal_split!J$5 * 0.01</f>
        <v>0.50672760662909855</v>
      </c>
      <c r="AW95" s="213">
        <f>INDEX($A$94:$H$106,MATCH($L95,$B$94:$B$106,0),MATCH($AO$93,$A$94:$H$94,0))*고양시_Modal_split!K$5 * 0.01</f>
        <v>1.6163560020066939E-3</v>
      </c>
      <c r="AX95" s="213">
        <f>INDEX($A$94:$H$106,MATCH($L95,$B$94:$B$106,0),MATCH($AO$93,$A$94:$H$94,0))*고양시_Modal_split!L$5 * 0.01</f>
        <v>0.20608539025585346</v>
      </c>
      <c r="AY95" s="213">
        <f>INDEX($A$94:$H$106,MATCH($L95,$B$94:$B$106,0),MATCH($AO$93,$A$94:$H$94,0))*고양시_Modal_split!M$5 * 0.01</f>
        <v>5.4147926067224246E-2</v>
      </c>
      <c r="AZ95" s="213">
        <f>INDEX($A$94:$H$106,MATCH($L95,$B$94:$B$106,0),MATCH($AO$93,$A$94:$H$94,0))*고양시_Modal_split!N$5 * 0.01</f>
        <v>1.3739026017056897E-2</v>
      </c>
      <c r="BA95" s="213">
        <f>INDEX($A$94:$H$106,MATCH($L95,$B$94:$B$106,0),MATCH($AO$93,$A$94:$H$94,0))*고양시_Modal_split!O$5 * 0.01</f>
        <v>0.12445941215451542</v>
      </c>
      <c r="BB95" s="213">
        <f>INDEX($A$94:$H$106,MATCH($L95,$B$94:$B$106,0),MATCH($AO$93,$A$94:$H$94,0))*고양시_Modal_split!P$5 * 0.01</f>
        <v>8.0817800100334676</v>
      </c>
      <c r="BC95" s="213">
        <f>INDEX($A$94:$H$106,MATCH($L95,$B$94:$B$106,0),MATCH($BC$93,$A$94:$H$94,0))*고양시_Modal_split!C$6 * 0.01</f>
        <v>0</v>
      </c>
      <c r="BD95" s="207">
        <f>INDEX($A$94:$H$106,MATCH($L95,$B$94:$B$106,0),MATCH($BC$93,$A$94:$H$94,0))*고양시_Modal_split!D$6 * 0.01</f>
        <v>1.0517321151873265E-2</v>
      </c>
      <c r="BE95" s="207">
        <f>INDEX($A$94:$H$106,MATCH($L95,$B$94:$B$106,0),MATCH($BC$93,$A$94:$H$94,0))*고양시_Modal_split!E$6 * 0.01</f>
        <v>5.4612342655542861E-5</v>
      </c>
      <c r="BF95" s="207">
        <f>INDEX($A$94:$H$106,MATCH($L95,$B$94:$B$106,0),MATCH($BC$93,$A$94:$H$94,0))*고양시_Modal_split!F$6 * 0.01</f>
        <v>1.5494664660409835E-4</v>
      </c>
      <c r="BG95" s="207">
        <f>INDEX($A$94:$H$106,MATCH($L95,$B$94:$B$106,0),MATCH($BC$93,$A$94:$H$94,0))*고양시_Modal_split!G$6 * 0.01</f>
        <v>0</v>
      </c>
      <c r="BH95" s="207">
        <f>INDEX($A$94:$H$106,MATCH($L95,$B$94:$B$106,0),MATCH($BC$93,$A$94:$H$94,0))*고양시_Modal_split!H$6 * 0.01</f>
        <v>6.7439892907193624E-4</v>
      </c>
      <c r="BI95" s="207">
        <f>INDEX($A$94:$H$106,MATCH($L95,$B$94:$B$106,0),MATCH($BC$93,$A$94:$H$94,0))*고양시_Modal_split!I$6 * 0.01</f>
        <v>4.4959928604795753E-4</v>
      </c>
      <c r="BJ95" s="207">
        <f>INDEX($A$94:$H$106,MATCH($L95,$B$94:$B$106,0),MATCH($BC$93,$A$94:$H$94,0))*고양시_Modal_split!J$6 * 0.01</f>
        <v>6.2740691329856216E-4</v>
      </c>
      <c r="BK95" s="207">
        <f>INDEX($A$94:$H$106,MATCH($L95,$B$94:$B$106,0),MATCH($BC$93,$A$94:$H$94,0))*고양시_Modal_split!K$6 * 0.01</f>
        <v>0</v>
      </c>
      <c r="BL95" s="207">
        <f>INDEX($A$94:$H$106,MATCH($L95,$B$94:$B$106,0),MATCH($BC$93,$A$94:$H$94,0))*고양시_Modal_split!L$6 * 0.01</f>
        <v>9.6524140507471109E-5</v>
      </c>
      <c r="BM95" s="207">
        <f>INDEX($A$94:$H$106,MATCH($L95,$B$94:$B$106,0),MATCH($BC$93,$A$94:$H$94,0))*고양시_Modal_split!M$6 * 0.01</f>
        <v>1.1557495771289304E-4</v>
      </c>
      <c r="BN95" s="207">
        <f>INDEX($A$94:$H$106,MATCH($L95,$B$94:$B$106,0),MATCH($BC$93,$A$94:$H$94,0))*고양시_Modal_split!N$6 * 0.01</f>
        <v>0</v>
      </c>
      <c r="BO95" s="207">
        <f>INDEX($A$94:$H$106,MATCH($L95,$B$94:$B$106,0),MATCH($BC$93,$A$94:$H$94,0))*고양시_Modal_split!O$6 * 0.01</f>
        <v>1.0160435842891694E-5</v>
      </c>
      <c r="BP95" s="214">
        <f>INDEX($A$94:$H$106,MATCH($L95,$B$94:$B$106,0),MATCH($BC$93,$A$94:$H$94,0))*고양시_Modal_split!P$6 * 0.01</f>
        <v>1.270054480361462E-2</v>
      </c>
      <c r="BQ95" s="213">
        <f>INDEX($A$94:$H$106,MATCH($L95,$B$94:$B$106,0),MATCH($BQ$93,$A$94:$H$94,0))*고양시_Modal_split!C$7 * 0.01</f>
        <v>0</v>
      </c>
      <c r="BR95" s="213">
        <f>INDEX($A$94:$H$106,MATCH($L95,$B$94:$B$106,0),MATCH($BQ$93,$A$94:$H$94,0))*고양시_Modal_split!D$7 * 0.01</f>
        <v>2.9402043454696911E-2</v>
      </c>
      <c r="BS95" s="213">
        <f>INDEX($A$94:$H$106,MATCH($L95,$B$94:$B$106,0),MATCH($BQ$93,$A$94:$H$94,0))*고양시_Modal_split!E$7 * 0.01</f>
        <v>1.4345970941505182E-3</v>
      </c>
      <c r="BT95" s="213">
        <f>INDEX($A$94:$H$106,MATCH($L95,$B$94:$B$106,0),MATCH($BQ$93,$A$94:$H$94,0))*고양시_Modal_split!F$7 * 0.01</f>
        <v>4.7979835924766501E-4</v>
      </c>
      <c r="BU95" s="213">
        <f>INDEX($A$94:$H$106,MATCH($L95,$B$94:$B$106,0),MATCH($BQ$93,$A$94:$H$94,0))*고양시_Modal_split!G$7 * 0.01</f>
        <v>2.0151531088401928E-4</v>
      </c>
      <c r="BV95" s="213">
        <f>INDEX($A$94:$H$106,MATCH($L95,$B$94:$B$106,0),MATCH($BQ$93,$A$94:$H$94,0))*고양시_Modal_split!H$7 * 0.01</f>
        <v>2.6820728281944472E-3</v>
      </c>
      <c r="BW95" s="213">
        <f>INDEX($A$94:$H$106,MATCH($L95,$B$94:$B$106,0),MATCH($BQ$93,$A$94:$H$94,0))*고양시_Modal_split!I$7 * 0.01</f>
        <v>8.9578353671539053E-3</v>
      </c>
      <c r="BX95" s="213">
        <f>INDEX($A$94:$H$106,MATCH($L95,$B$94:$B$106,0),MATCH($BQ$93,$A$94:$H$94,0))*고양시_Modal_split!J$7 * 0.01</f>
        <v>9.5959671849533005E-6</v>
      </c>
      <c r="BY95" s="213">
        <f>INDEX($A$94:$H$106,MATCH($L95,$B$94:$B$106,0),MATCH($BQ$93,$A$94:$H$94,0))*고양시_Modal_split!K$7 * 0.01</f>
        <v>3.6944473662070204E-3</v>
      </c>
      <c r="BZ95" s="213">
        <f>INDEX($A$94:$H$106,MATCH($L95,$B$94:$B$106,0),MATCH($BQ$93,$A$94:$H$94,0))*고양시_Modal_split!L$7 * 0.01</f>
        <v>3.3585885147336548E-5</v>
      </c>
      <c r="CA95" s="213">
        <f>INDEX($A$94:$H$106,MATCH($L95,$B$94:$B$106,0),MATCH($BQ$93,$A$94:$H$94,0))*고양시_Modal_split!M$7 * 0.01</f>
        <v>8.9722293179313357E-4</v>
      </c>
      <c r="CB95" s="213">
        <f>INDEX($A$94:$H$106,MATCH($L95,$B$94:$B$106,0),MATCH($BQ$93,$A$94:$H$94,0))*고양시_Modal_split!N$7 * 0.01</f>
        <v>1.8712136010658932E-4</v>
      </c>
      <c r="CC95" s="213">
        <f>INDEX($A$94:$H$106,MATCH($L95,$B$94:$B$106,0),MATCH($BQ$93,$A$94:$H$94,0))*고양시_Modal_split!O$7 * 0.01</f>
        <v>0</v>
      </c>
      <c r="CD95" s="213">
        <f>INDEX($A$94:$H$106,MATCH($L95,$B$94:$B$106,0),MATCH($BQ$93,$A$94:$H$94,0))*고양시_Modal_split!P$7 * 0.01</f>
        <v>4.7979835924766498E-2</v>
      </c>
      <c r="CE95" s="218">
        <f>M95+AA95+AO95+BC95+BQ95</f>
        <v>42.94239259151626</v>
      </c>
      <c r="CF95" s="208">
        <f t="shared" ref="CF95:CF106" si="39">N95+AB95+AP95+BD95+BR95</f>
        <v>60.296306234201225</v>
      </c>
      <c r="CG95" s="208">
        <f t="shared" ref="CG95:CG106" si="40">O95+AC95+AQ95+BE95+BS95</f>
        <v>12.851306479588816</v>
      </c>
      <c r="CH95" s="208">
        <f t="shared" ref="CH95:CH106" si="41">P95+AD95+AR95+BF95+BT95</f>
        <v>3.2936909886618153</v>
      </c>
      <c r="CI95" s="208">
        <f t="shared" ref="CI95:CI106" si="42">Q95+AE95+AS95+BG95+BU95</f>
        <v>16.728545307944547</v>
      </c>
      <c r="CJ95" s="208">
        <f t="shared" ref="CJ95:CJ106" si="43">R95+AF95+AT95+BH95+BV95</f>
        <v>1.0960287931190483E-2</v>
      </c>
      <c r="CK95" s="208">
        <f t="shared" ref="CK95:CK106" si="44">S95+AG95+AU95+BI95+BW95</f>
        <v>5.6769480799429468</v>
      </c>
      <c r="CL95" s="208">
        <f t="shared" ref="CL95:CL106" si="45">T95+AH95+AV95+BJ95+BX95</f>
        <v>13.068043393419959</v>
      </c>
      <c r="CM95" s="208">
        <f t="shared" ref="CM95:CM106" si="46">U95+AI95+AW95+BK95+BY95</f>
        <v>3.4509355871723796E-2</v>
      </c>
      <c r="CN95" s="208">
        <f t="shared" ref="CN95:CN106" si="47">V95+AJ95+AX95+BL95+BZ95</f>
        <v>7.3026093477757579</v>
      </c>
      <c r="CO95" s="208">
        <f t="shared" ref="CO95:CO106" si="48">W95+AK95+AY95+BM95+CA95</f>
        <v>1.0438095153388365</v>
      </c>
      <c r="CP95" s="208">
        <f t="shared" ref="CP95:CP106" si="49">X95+AL95+AZ95+BN95+CB95</f>
        <v>3.555323481670762</v>
      </c>
      <c r="CQ95" s="208">
        <f t="shared" ref="CQ95:CQ106" si="50">Y95+AM95+BA95+BO95+CC95</f>
        <v>1.6809823008883942</v>
      </c>
      <c r="CR95" s="219">
        <f t="shared" ref="CR95:CR106" si="51">Z95+AN95+BB95+BP95+CD95</f>
        <v>168.48542736475221</v>
      </c>
      <c r="CS95" s="225">
        <f>H95-CR95</f>
        <v>0</v>
      </c>
      <c r="CV95" s="265"/>
      <c r="CW95" s="266" t="s">
        <v>12</v>
      </c>
      <c r="CX95" s="267">
        <f>INDEX($M$93:$Z$106,MATCH($CW95,$L$93:$L$106,0),MATCH(CX$94,$M$94:$Z$94,0))/INDEX(고양시_재차인원!$D$4:$H$35,MATCH("고양시",고양시_재차인원!$B$4:$B$35,0),MATCH('A.일산테크노밸리(859991)_수정'!$CX$93,고양시_재차인원!$D$4:$H$4,0))</f>
        <v>8.1738566919052325</v>
      </c>
      <c r="CY95" s="267">
        <f>INDEX($M$93:$Z$106,MATCH($CW95,$L$93:$L$106,0),MATCH(CY$94,$M$94:$Z$94,0))/INDEX(고양시_재차인원!$K$4:$O$20,MATCH("경기도",고양시_재차인원!$K$4:$K$20,0),MATCH('A.일산테크노밸리(859991)_수정'!CY$94,고양시_재차인원!$K$4:$O$4,0))</f>
        <v>6.7612718544656896E-5</v>
      </c>
      <c r="CZ95" s="267">
        <f>INDEX($M$93:$Z$106,MATCH($CW95,$L$93:$L$106,0),MATCH(CZ$94,$M$94:$Z$94,0))/INDEX(고양시_재차인원!$K$4:$O$20,MATCH("경기도",고양시_재차인원!$K$4:$K$20,0),MATCH('A.일산테크노밸리(859991)_수정'!CZ$94,고양시_재차인원!$K$4:$O$4,0))</f>
        <v>1.8796335755414617E-2</v>
      </c>
      <c r="DA95" s="267">
        <f>INDEX($M$93:$Z$106,MATCH($CW95,$L$93:$L$106,0),MATCH(DA$94,$M$94:$Z$94,0))/INDEX(고양시_재차인원!$K$4:$O$20,MATCH("경기도",고양시_재차인원!$K$4:$K$20,0),MATCH('A.일산테크노밸리(859991)_수정'!DA$94,고양시_재차인원!$K$4:$O$4,0))</f>
        <v>0.39190946026933532</v>
      </c>
      <c r="DB95" s="267">
        <f>INDEX($AA$93:$AN$106,MATCH($CW95,$L$93:$L$106,0),MATCH(DB$94,$AA$94:$AN$94,0))/INDEX(고양시_재차인원!$D$4:$H$35,MATCH("고양시",고양시_재차인원!$B$4:$B$35,0),MATCH('A.일산테크노밸리(859991)_수정'!$DB$93,고양시_재차인원!$D$4:$H$4,0))</f>
        <v>32.042084385325012</v>
      </c>
      <c r="DC95" s="267">
        <f>INDEX($AA$93:$AN$106,MATCH($CW95,$L$93:$L$106,0),MATCH(DC$94,$AA$94:$AN$94,0))/INDEX(고양시_재차인원!$K$4:$O$20,MATCH("경기도",고양시_재차인원!$K$4:$K$20,0),MATCH('A.일산테크노밸리(859991)_수정'!DC$94,고양시_재차인원!$K$4:$O$4,0))</f>
        <v>0</v>
      </c>
      <c r="DD95" s="267">
        <f>INDEX($AA$93:$AN$106,MATCH($CW95,$L$93:$L$106,0),MATCH(DD$94,$AA$94:$AN$94,0))/INDEX(고양시_재차인원!$K$4:$O$20,MATCH("경기도",고양시_재차인원!$K$4:$K$20,0),MATCH('A.일산테크노밸리(859991)_수정'!DD$94,고양시_재차인원!$K$4:$O$4,0))</f>
        <v>0.17028582259859087</v>
      </c>
      <c r="DE95" s="267">
        <f>INDEX($AA$93:$AN$106,MATCH($CW95,$L$93:$L$106,0),MATCH(DE$94,$AA$94:$AN$94,0))/INDEX(고양시_재차인원!$K$4:$O$20,MATCH("경기도",고양시_재차인원!$K$4:$K$20,0),MATCH('A.일산테크노밸리(859991)_수정'!DE$94,고양시_재차인원!$K$4:$O$4,0))</f>
        <v>4.3390197713934979</v>
      </c>
      <c r="DF95" s="267">
        <f>INDEX($AO$93:$BB$106,MATCH($CW95,$L$93:$L$106,0),MATCH(DF$94,$AO$94:$BB$94,0))/INDEX(고양시_재차인원!$D$4:$H$35,MATCH("고양시",고양시_재차인원!$B$4:$B$35,0),MATCH('A.일산테크노밸리(859991)_수정'!$DF$93,고양시_재차인원!$D$4:$H$4,0))</f>
        <v>4.5556372241173282</v>
      </c>
      <c r="DG95" s="267">
        <f>INDEX($AO$93:$BB$106,MATCH($CW95,$L$93:$L$106,0),MATCH(DG$94,$AO$94:$BB$94,0))/INDEX(고양시_재차인원!$K$4:$O$20,MATCH("경기도",고양시_재차인원!$K$4:$K$20,0),MATCH('A.일산테크노밸리(859991)_수정'!DG$94,고양시_재차인원!$K$4:$O$4,0))</f>
        <v>1.9650038232106381E-4</v>
      </c>
      <c r="DH95" s="267">
        <f>INDEX($AO$93:$BB$106,MATCH($CW95,$L$93:$L$106,0),MATCH(DH$94,$AO$94:$BB$94,0))/INDEX(고양시_재차인원!$K$4:$O$20,MATCH("경기도",고양시_재차인원!$K$4:$K$20,0),MATCH('A.일산테크노밸리(859991)_수정'!DH$94,고양시_재차인원!$K$4:$O$4,0))</f>
        <v>7.7758008432763839E-3</v>
      </c>
      <c r="DI95" s="267">
        <f>INDEX($AO$93:$BB$106,MATCH($CW95,$L$93:$L$106,0),MATCH(DI$94,$AO$94:$BB$94,0))/INDEX(고양시_재차인원!$K$4:$O$20,MATCH("경기도",고양시_재차인원!$K$4:$K$20,0),MATCH('A.일산테크노밸리(859991)_수정'!DI$94,고양시_재차인원!$K$4:$O$4,0))</f>
        <v>0.13739026017056896</v>
      </c>
      <c r="DJ95" s="268">
        <f>INDEX($BC$93:$BP$106,MATCH($CW95,$L$93:$L$106,0),MATCH(DJ$94,$BC$94:$BP$94,0))/INDEX(고양시_재차인원!$D$4:$H$35,MATCH("고양시",고양시_재차인원!$B$4:$B$35,0),MATCH('A.일산테크노밸리(859991)_수정'!$DJ$93,고양시_재차인원!$D$4:$H$4,0))</f>
        <v>7.7333243763774004E-3</v>
      </c>
      <c r="DK95" s="267">
        <f>INDEX($BC$93:$BP$106,MATCH($CW95,$L$93:$L$106,0),MATCH(DK$94,$BC$94:$BP$94,0))/INDEX(고양시_재차인원!$K$4:$O$20,MATCH("경기도",고양시_재차인원!$K$4:$K$20,0),MATCH('A.일산테크노밸리(859991)_수정'!DK$94,고양시_재차인원!$K$4:$O$4,0))</f>
        <v>2.3424763079956104E-5</v>
      </c>
      <c r="DL95" s="267">
        <f>INDEX($BC$93:$BP$106,MATCH($CW95,$L$93:$L$106,0),MATCH(DL$94,$BC$94:$BP$94,0))/INDEX(고양시_재차인원!$K$4:$O$20,MATCH("경기도",고양시_재차인원!$K$4:$K$20,0),MATCH('A.일산테크노밸리(859991)_수정'!DL$94,고양시_재차인원!$K$4:$O$4,0))</f>
        <v>1.5616508719970738E-5</v>
      </c>
      <c r="DM95" s="267">
        <f>INDEX($BC$93:$BP$106,MATCH($CW95,$L$93:$L$106,0),MATCH(DM$94,$BC$94:$BP$94,0))/INDEX(고양시_재차인원!$K$4:$O$20,MATCH("경기도",고양시_재차인원!$K$4:$K$20,0),MATCH('A.일산테크노밸리(859991)_수정'!DM$94,고양시_재차인원!$K$4:$O$4,0))</f>
        <v>6.4349427004980735E-5</v>
      </c>
      <c r="DN95" s="268">
        <f>INDEX($BQ$93:$CD$106,MATCH($CW95,$L$93:$L$106,0),MATCH(DN$94,$BQ$94:$CD$94,0))/INDEX(고양시_재차인원!$D$4:$H$35,MATCH("고양시",고양시_재차인원!$B$4:$B$35,0),MATCH('A.일산테크노밸리(859991)_수정'!$DN$93,고양시_재차인원!$D$4:$H$4,0))</f>
        <v>2.3334955122775326E-2</v>
      </c>
      <c r="DO95" s="267">
        <f>INDEX($BQ$93:$CD$106,MATCH($CW95,$L$93:$L$106,0),MATCH(DO$94,$BQ$94:$CD$94,0))/INDEX(고양시_재차인원!$K$4:$O$20,MATCH("경기도",고양시_재차인원!$K$4:$K$20,0),MATCH('A.일산테크노밸리(859991)_수정'!DO$94,고양시_재차인원!$K$4:$O$4,0))</f>
        <v>9.3159875935896048E-5</v>
      </c>
      <c r="DP95" s="267">
        <f>INDEX($BQ$93:$CD$106,MATCH($CW95,$L$93:$L$106,0),MATCH(DP$94,$BQ$94:$CD$94,0))/INDEX(고양시_재차인원!$K$4:$O$20,MATCH("경기도",고양시_재차인원!$K$4:$K$20,0),MATCH('A.일산테크노밸리(859991)_수정'!DP$94,고양시_재차인원!$K$4:$O$4,0))</f>
        <v>3.1114398635477271E-4</v>
      </c>
      <c r="DQ95" s="267">
        <f>INDEX($BQ$93:$CD$106,MATCH($CW95,$L$93:$L$106,0),MATCH(DQ$94,$BQ$94:$CD$94,0))/INDEX(고양시_재차인원!$K$4:$O$20,MATCH("경기도",고양시_재차인원!$K$4:$K$20,0),MATCH('A.일산테크노밸리(859991)_수정'!DQ$94,고양시_재차인원!$K$4:$O$4,0))</f>
        <v>2.2390590098224364E-5</v>
      </c>
      <c r="DR95" s="269">
        <f>CX95+DB95+DF95+DJ95+DN95</f>
        <v>44.802646580846719</v>
      </c>
      <c r="DS95" s="270">
        <f t="shared" ref="DS95:DS106" si="52">CY95+DC95+DG95+DK95+DO95</f>
        <v>3.8069773988157283E-4</v>
      </c>
      <c r="DT95" s="270">
        <f t="shared" ref="DT95:DT106" si="53">CZ95+DD95+DH95+DL95+DP95</f>
        <v>0.19718471969235662</v>
      </c>
      <c r="DU95" s="270">
        <f t="shared" ref="DU95:DU106" si="54">DA95+DE95+DI95+DM95+DQ95</f>
        <v>4.8684062318505053</v>
      </c>
      <c r="DW95" s="278"/>
      <c r="DX95" s="278" t="s">
        <v>589</v>
      </c>
      <c r="DY95" s="281">
        <f>DR95+DU95</f>
        <v>49.671052812697226</v>
      </c>
      <c r="DZ95" s="281">
        <f>DS95+DT95</f>
        <v>0.19756541743223821</v>
      </c>
      <c r="EC95" s="412" t="s">
        <v>13</v>
      </c>
      <c r="ED95" s="412" t="s">
        <v>568</v>
      </c>
      <c r="EE95" s="412">
        <v>907.24059999999997</v>
      </c>
      <c r="EF95" s="412">
        <v>0.22444210067316503</v>
      </c>
      <c r="EG95" s="413">
        <v>859002</v>
      </c>
      <c r="EH95" s="414">
        <f t="shared" ref="EH95:EH138" si="55">VLOOKUP($EM95,$DX$94:$DZ$103,2,FALSE)*$EF95*$BB$11*(1-$BD$7)</f>
        <v>8.7918578992279919</v>
      </c>
      <c r="EI95" s="415">
        <f t="shared" ref="EI95:EI138" si="56">VLOOKUP($EM95,$DX$94:$DZ$103,3,FALSE)*$EF95*$BB$11*(1-$BD$7)</f>
        <v>3.4969403254160224E-2</v>
      </c>
      <c r="EJ95" s="402">
        <v>0</v>
      </c>
      <c r="EM95" s="278" t="s">
        <v>13</v>
      </c>
      <c r="EN95" s="278" t="s">
        <v>568</v>
      </c>
      <c r="EO95" s="278">
        <v>907.24059999999997</v>
      </c>
      <c r="EP95" s="278">
        <v>0.22444210067316503</v>
      </c>
      <c r="EQ95" s="289">
        <v>859002</v>
      </c>
      <c r="ER95" s="290">
        <f t="shared" si="37"/>
        <v>8.7918578992279919</v>
      </c>
      <c r="ES95" s="291">
        <f t="shared" si="38"/>
        <v>3.4969403254160224E-2</v>
      </c>
      <c r="ET95" s="402">
        <v>0</v>
      </c>
      <c r="EV95" s="34"/>
      <c r="EW95" s="34"/>
      <c r="EX95" s="34"/>
      <c r="EY95" s="34"/>
      <c r="EZ95" s="378"/>
      <c r="FA95" s="401"/>
      <c r="FB95" s="402"/>
      <c r="FC95" s="402"/>
    </row>
    <row r="96" spans="1:159" ht="25">
      <c r="A96" s="205"/>
      <c r="B96" s="205" t="s">
        <v>13</v>
      </c>
      <c r="C96" s="400">
        <f>'A.일산테크노밸리(859991)_수정'!$P29*KTDB_TripDistribution_2035!T$12 * (1+KTDB_발생량도착량_증가율!$D$8 *5) * (1+KTDB_발생량도착량_증가율!$E$8 *5)</f>
        <v>15.801569590134863</v>
      </c>
      <c r="D96" s="400">
        <f>'A.일산테크노밸리(859991)_수정'!$P29*KTDB_TripDistribution_2035!U$12 * (1+KTDB_발생량도착량_증가율!$D$8 *5) * (1+KTDB_발생량도착량_증가율!$E$8 *5)</f>
        <v>114.35919183581025</v>
      </c>
      <c r="E96" s="400">
        <f>'A.일산테크노밸리(859991)_수정'!$P29*KTDB_TripDistribution_2035!V$12 * (1+KTDB_발생량도착량_증가율!$D$8 *5) * (1+KTDB_발생량도착량_증가율!$E$8 *5)</f>
        <v>6.5605037728506987</v>
      </c>
      <c r="F96" s="400">
        <f>'A.일산테크노밸리(859991)_수정'!$P29*KTDB_TripDistribution_2035!W$12 * (1+KTDB_발생량도착량_증가율!$D$8 *5) * (1+KTDB_발생량도착량_증가율!$E$8 *5)</f>
        <v>1.0309854017051867E-2</v>
      </c>
      <c r="G96" s="400">
        <f>'A.일산테크노밸리(859991)_수정'!$P29*KTDB_TripDistribution_2035!X$12 * (1+KTDB_발생량도착량_증가율!$D$8 *5) * (1+KTDB_발생량도착량_증가율!$E$8 *5)</f>
        <v>3.8948337397751623E-2</v>
      </c>
      <c r="H96" s="400">
        <f>'A.일산테크노밸리(859991)_수정'!$P29*KTDB_TripDistribution_2035!Y$12 * (1+KTDB_발생량도착량_증가율!$D$8 *5) * (1+KTDB_발생량도착량_증가율!$E$8 *5)</f>
        <v>136.77052339021063</v>
      </c>
      <c r="J96" s="230">
        <f t="shared" ref="J96:J106" si="57">CR96</f>
        <v>136.7705233902106</v>
      </c>
      <c r="K96" s="206"/>
      <c r="L96" s="209" t="s">
        <v>13</v>
      </c>
      <c r="M96" s="213">
        <f>INDEX($A$94:$H$106,MATCH($L96,$B$94:$B$106,0),MATCH($M$93,$A$94:$H$94,0))*고양시_Modal_split!C$3 * 0.01</f>
        <v>4.4244394852377605E-2</v>
      </c>
      <c r="N96" s="213">
        <f>INDEX($A$94:$H$106,MATCH($L96,$B$94:$B$106,0),MATCH($M$93,$A$94:$H$94,0))*고양시_Modal_split!D$3 * 0.01</f>
        <v>7.4314781782404262</v>
      </c>
      <c r="O96" s="213">
        <f>INDEX($A$94:$H$106,MATCH($L96,$B$94:$B$106,0),MATCH($M$93,$A$94:$H$94,0))*고양시_Modal_split!E$3 * 0.01</f>
        <v>0.89910930967867364</v>
      </c>
      <c r="P96" s="213">
        <f>INDEX($A$94:$H$106,MATCH($L96,$B$94:$B$106,0),MATCH($M$93,$A$94:$H$94,0))*고양시_Modal_split!F$3 * 0.01</f>
        <v>1.4490039314153669</v>
      </c>
      <c r="Q96" s="213">
        <f>INDEX($A$94:$H$106,MATCH($L96,$B$94:$B$106,0),MATCH($M$93,$A$94:$H$94,0))*고양시_Modal_split!G$3 * 0.01</f>
        <v>0.14537444022924073</v>
      </c>
      <c r="R96" s="213">
        <f>INDEX($A$94:$H$106,MATCH($L96,$B$94:$B$106,0),MATCH($M$93,$A$94:$H$94,0))*고양시_Modal_split!H$3 * 0.01</f>
        <v>1.5801569590134861E-3</v>
      </c>
      <c r="S96" s="213">
        <f>INDEX($A$94:$H$106,MATCH($L96,$B$94:$B$106,0),MATCH($M$93,$A$94:$H$94,0))*고양시_Modal_split!I$3 * 0.01</f>
        <v>0.43928363460574915</v>
      </c>
      <c r="T96" s="213">
        <f>INDEX($A$94:$H$106,MATCH($L96,$B$94:$B$106,0),MATCH($M$93,$A$94:$H$94,0))*고양시_Modal_split!J$3 * 0.01</f>
        <v>4.8099977832370522</v>
      </c>
      <c r="U96" s="213">
        <f>INDEX($A$94:$H$106,MATCH($L96,$B$94:$B$106,0),MATCH($M$93,$A$94:$H$94,0))*고양시_Modal_split!K$3 * 0.01</f>
        <v>2.3702354385202292E-2</v>
      </c>
      <c r="V96" s="213">
        <f>INDEX($A$94:$H$106,MATCH($L96,$B$94:$B$106,0),MATCH($M$93,$A$94:$H$94,0))*고양시_Modal_split!L$3 * 0.01</f>
        <v>0.47720740162207287</v>
      </c>
      <c r="W96" s="213">
        <f>INDEX($A$94:$H$106,MATCH($L96,$B$94:$B$106,0),MATCH($M$93,$A$94:$H$94,0))*고양시_Modal_split!M$3 * 0.01</f>
        <v>3.6343610057310183E-2</v>
      </c>
      <c r="X96" s="213">
        <f>INDEX($A$94:$H$106,MATCH($L96,$B$94:$B$106,0),MATCH($M$93,$A$94:$H$94,0))*고양시_Modal_split!N$3 * 0.01</f>
        <v>1.5801569590134863E-2</v>
      </c>
      <c r="Y96" s="213">
        <f>INDEX($A$94:$H$106,MATCH($L96,$B$94:$B$106,0),MATCH($M$93,$A$94:$H$94,0))*고양시_Modal_split!O$3 * 0.01</f>
        <v>2.844282526224275E-2</v>
      </c>
      <c r="Z96" s="213">
        <f>INDEX($A$94:$H$106,MATCH($L96,$B$94:$B$106,0),MATCH($M$93,$A$94:$H$94,0))*고양시_Modal_split!P$3 * 0.01</f>
        <v>15.801569590134864</v>
      </c>
      <c r="AA96" s="213">
        <f>INDEX($A$94:$H$106,MATCH($L96,$B$94:$B$106,0),MATCH($AA$93,$A$94:$H$94,0))*고양시_Modal_split!C$4 * 0.01</f>
        <v>34.810937994820641</v>
      </c>
      <c r="AB96" s="213">
        <f>INDEX($A$94:$H$106,MATCH($L96,$B$94:$B$106,0),MATCH($AA$93,$A$94:$H$94,0))*고양시_Modal_split!D$4 * 0.01</f>
        <v>36.674992821744347</v>
      </c>
      <c r="AC96" s="213">
        <f>INDEX($A$94:$H$106,MATCH($L96,$B$94:$B$106,0),MATCH($AA$93,$A$94:$H$94,0))*고양시_Modal_split!E$4 * 0.01</f>
        <v>8.885709205642458</v>
      </c>
      <c r="AD96" s="213">
        <f>INDEX($A$94:$H$106,MATCH($L96,$B$94:$B$106,0),MATCH($AA$93,$A$94:$H$94,0))*고양시_Modal_split!F$4 * 0.01</f>
        <v>1.0864123224401974</v>
      </c>
      <c r="AE96" s="213">
        <f>INDEX($A$94:$H$106,MATCH($L96,$B$94:$B$106,0),MATCH($AA$93,$A$94:$H$94,0))*고양시_Modal_split!G$4 * 0.01</f>
        <v>13.391461363973379</v>
      </c>
      <c r="AF96" s="213">
        <f>INDEX($A$94:$H$106,MATCH($L96,$B$94:$B$106,0),MATCH($AA$93,$A$94:$H$94,0))*고양시_Modal_split!H$4 * 0.01</f>
        <v>0</v>
      </c>
      <c r="AG96" s="213">
        <f>INDEX($A$94:$H$106,MATCH($L96,$B$94:$B$106,0),MATCH($AA$93,$A$94:$H$94,0))*고양시_Modal_split!I$4 * 0.01</f>
        <v>3.9796998758861966</v>
      </c>
      <c r="AH96" s="213">
        <f>INDEX($A$94:$H$106,MATCH($L96,$B$94:$B$106,0),MATCH($AA$93,$A$94:$H$94,0))*고양시_Modal_split!J$4 * 0.01</f>
        <v>5.3863179354666624</v>
      </c>
      <c r="AI96" s="213">
        <f>INDEX($A$94:$H$106,MATCH($L96,$B$94:$B$106,0),MATCH($AA$93,$A$94:$H$94,0))*고양시_Modal_split!K$4 * 0.01</f>
        <v>0</v>
      </c>
      <c r="AJ96" s="213">
        <f>INDEX($A$94:$H$106,MATCH($L96,$B$94:$B$106,0),MATCH($AA$93,$A$94:$H$94,0))*고양시_Modal_split!L$4 * 0.01</f>
        <v>5.2833946628144339</v>
      </c>
      <c r="AK96" s="213">
        <f>INDEX($A$94:$H$106,MATCH($L96,$B$94:$B$106,0),MATCH($AA$93,$A$94:$H$94,0))*고양시_Modal_split!M$4 * 0.01</f>
        <v>0.76620658529992869</v>
      </c>
      <c r="AL96" s="213">
        <f>INDEX($A$94:$H$106,MATCH($L96,$B$94:$B$106,0),MATCH($AA$93,$A$94:$H$94,0))*고양시_Modal_split!N$4 * 0.01</f>
        <v>2.8589797958952561</v>
      </c>
      <c r="AM96" s="213">
        <f>INDEX($A$94:$H$106,MATCH($L96,$B$94:$B$106,0),MATCH($AA$93,$A$94:$H$94,0))*고양시_Modal_split!O$4 * 0.01</f>
        <v>1.2350792718267507</v>
      </c>
      <c r="AN96" s="213">
        <f>INDEX($A$94:$H$106,MATCH($L96,$B$94:$B$106,0),MATCH($AA$93,$A$94:$H$94,0))*고양시_Modal_split!P$4 * 0.01</f>
        <v>114.35919183581025</v>
      </c>
      <c r="AO96" s="213">
        <f>INDEX($A$94:$H$106,MATCH($L96,$B$94:$B$106,0),MATCH($AO$93,$A$94:$H$94,0))*고양시_Modal_split!C$5 * 0.01</f>
        <v>3.936302263710419E-3</v>
      </c>
      <c r="AP96" s="213">
        <f>INDEX($A$94:$H$106,MATCH($L96,$B$94:$B$106,0),MATCH($AO$93,$A$94:$H$94,0))*고양시_Modal_split!D$5 * 0.01</f>
        <v>4.8075371647449918</v>
      </c>
      <c r="AQ96" s="213">
        <f>INDEX($A$94:$H$106,MATCH($L96,$B$94:$B$106,0),MATCH($AO$93,$A$94:$H$94,0))*고양시_Modal_split!E$5 * 0.01</f>
        <v>0.64620962162579376</v>
      </c>
      <c r="AR96" s="213">
        <f>INDEX($A$94:$H$106,MATCH($L96,$B$94:$B$106,0),MATCH($AO$93,$A$94:$H$94,0))*고양시_Modal_split!F$5 * 0.01</f>
        <v>0.13777057922986469</v>
      </c>
      <c r="AS96" s="213">
        <f>INDEX($A$94:$H$106,MATCH($L96,$B$94:$B$106,0),MATCH($AO$93,$A$94:$H$94,0))*고양시_Modal_split!G$5 * 0.01</f>
        <v>4.2643274523529541E-2</v>
      </c>
      <c r="AT96" s="213">
        <f>INDEX($A$94:$H$106,MATCH($L96,$B$94:$B$106,0),MATCH($AO$93,$A$94:$H$94,0))*고양시_Modal_split!H$5 * 0.01</f>
        <v>4.5923526409954885E-3</v>
      </c>
      <c r="AU96" s="213">
        <f>INDEX($A$94:$H$106,MATCH($L96,$B$94:$B$106,0),MATCH($AO$93,$A$94:$H$94,0))*고양시_Modal_split!I$5 * 0.01</f>
        <v>0.18172595450796436</v>
      </c>
      <c r="AV96" s="213">
        <f>INDEX($A$94:$H$106,MATCH($L96,$B$94:$B$106,0),MATCH($AO$93,$A$94:$H$94,0))*고양시_Modal_split!J$5 * 0.01</f>
        <v>0.41134358655773889</v>
      </c>
      <c r="AW96" s="213">
        <f>INDEX($A$94:$H$106,MATCH($L96,$B$94:$B$106,0),MATCH($AO$93,$A$94:$H$94,0))*고양시_Modal_split!K$5 * 0.01</f>
        <v>1.3121007545701397E-3</v>
      </c>
      <c r="AX96" s="213">
        <f>INDEX($A$94:$H$106,MATCH($L96,$B$94:$B$106,0),MATCH($AO$93,$A$94:$H$94,0))*고양시_Modal_split!L$5 * 0.01</f>
        <v>0.1672928462076928</v>
      </c>
      <c r="AY96" s="213">
        <f>INDEX($A$94:$H$106,MATCH($L96,$B$94:$B$106,0),MATCH($AO$93,$A$94:$H$94,0))*고양시_Modal_split!M$5 * 0.01</f>
        <v>4.395537527809968E-2</v>
      </c>
      <c r="AZ96" s="213">
        <f>INDEX($A$94:$H$106,MATCH($L96,$B$94:$B$106,0),MATCH($AO$93,$A$94:$H$94,0))*고양시_Modal_split!N$5 * 0.01</f>
        <v>1.1152856413846186E-2</v>
      </c>
      <c r="BA96" s="213">
        <f>INDEX($A$94:$H$106,MATCH($L96,$B$94:$B$106,0),MATCH($AO$93,$A$94:$H$94,0))*고양시_Modal_split!O$5 * 0.01</f>
        <v>0.10103175810190078</v>
      </c>
      <c r="BB96" s="213">
        <f>INDEX($A$94:$H$106,MATCH($L96,$B$94:$B$106,0),MATCH($AO$93,$A$94:$H$94,0))*고양시_Modal_split!P$5 * 0.01</f>
        <v>6.5605037728506979</v>
      </c>
      <c r="BC96" s="213">
        <f>INDEX($A$94:$H$106,MATCH($L96,$B$94:$B$106,0),MATCH($BC$93,$A$94:$H$94,0))*고양시_Modal_split!C$6 * 0.01</f>
        <v>0</v>
      </c>
      <c r="BD96" s="207">
        <f>INDEX($A$94:$H$106,MATCH($L96,$B$94:$B$106,0),MATCH($BC$93,$A$94:$H$94,0))*고양시_Modal_split!D$6 * 0.01</f>
        <v>8.5375901115206498E-3</v>
      </c>
      <c r="BE96" s="207">
        <f>INDEX($A$94:$H$106,MATCH($L96,$B$94:$B$106,0),MATCH($BC$93,$A$94:$H$94,0))*고양시_Modal_split!E$6 * 0.01</f>
        <v>4.433237227332303E-5</v>
      </c>
      <c r="BF96" s="207">
        <f>INDEX($A$94:$H$106,MATCH($L96,$B$94:$B$106,0),MATCH($BC$93,$A$94:$H$94,0))*고양시_Modal_split!F$6 * 0.01</f>
        <v>1.2578021900803277E-4</v>
      </c>
      <c r="BG96" s="207">
        <f>INDEX($A$94:$H$106,MATCH($L96,$B$94:$B$106,0),MATCH($BC$93,$A$94:$H$94,0))*고양시_Modal_split!G$6 * 0.01</f>
        <v>0</v>
      </c>
      <c r="BH96" s="207">
        <f>INDEX($A$94:$H$106,MATCH($L96,$B$94:$B$106,0),MATCH($BC$93,$A$94:$H$94,0))*고양시_Modal_split!H$6 * 0.01</f>
        <v>5.4745324830545426E-4</v>
      </c>
      <c r="BI96" s="207">
        <f>INDEX($A$94:$H$106,MATCH($L96,$B$94:$B$106,0),MATCH($BC$93,$A$94:$H$94,0))*고양시_Modal_split!I$6 * 0.01</f>
        <v>3.649688322036361E-4</v>
      </c>
      <c r="BJ96" s="207">
        <f>INDEX($A$94:$H$106,MATCH($L96,$B$94:$B$106,0),MATCH($BC$93,$A$94:$H$94,0))*고양시_Modal_split!J$6 * 0.01</f>
        <v>5.0930678844236213E-4</v>
      </c>
      <c r="BK96" s="207">
        <f>INDEX($A$94:$H$106,MATCH($L96,$B$94:$B$106,0),MATCH($BC$93,$A$94:$H$94,0))*고양시_Modal_split!K$6 * 0.01</f>
        <v>0</v>
      </c>
      <c r="BL96" s="207">
        <f>INDEX($A$94:$H$106,MATCH($L96,$B$94:$B$106,0),MATCH($BC$93,$A$94:$H$94,0))*고양시_Modal_split!L$6 * 0.01</f>
        <v>7.8354890529594188E-5</v>
      </c>
      <c r="BM96" s="207">
        <f>INDEX($A$94:$H$106,MATCH($L96,$B$94:$B$106,0),MATCH($BC$93,$A$94:$H$94,0))*고양시_Modal_split!M$6 * 0.01</f>
        <v>9.3819671555172004E-5</v>
      </c>
      <c r="BN96" s="207">
        <f>INDEX($A$94:$H$106,MATCH($L96,$B$94:$B$106,0),MATCH($BC$93,$A$94:$H$94,0))*고양시_Modal_split!N$6 * 0.01</f>
        <v>0</v>
      </c>
      <c r="BO96" s="207">
        <f>INDEX($A$94:$H$106,MATCH($L96,$B$94:$B$106,0),MATCH($BC$93,$A$94:$H$94,0))*고양시_Modal_split!O$6 * 0.01</f>
        <v>8.2478832136414939E-6</v>
      </c>
      <c r="BP96" s="214">
        <f>INDEX($A$94:$H$106,MATCH($L96,$B$94:$B$106,0),MATCH($BC$93,$A$94:$H$94,0))*고양시_Modal_split!P$6 * 0.01</f>
        <v>1.0309854017051867E-2</v>
      </c>
      <c r="BQ96" s="213">
        <f>INDEX($A$94:$H$106,MATCH($L96,$B$94:$B$106,0),MATCH($BQ$93,$A$94:$H$94,0))*고양시_Modal_split!C$7 * 0.01</f>
        <v>0</v>
      </c>
      <c r="BR96" s="213">
        <f>INDEX($A$94:$H$106,MATCH($L96,$B$94:$B$106,0),MATCH($BQ$93,$A$94:$H$94,0))*고양시_Modal_split!D$7 * 0.01</f>
        <v>2.3867541157342194E-2</v>
      </c>
      <c r="BS96" s="213">
        <f>INDEX($A$94:$H$106,MATCH($L96,$B$94:$B$106,0),MATCH($BQ$93,$A$94:$H$94,0))*고양시_Modal_split!E$7 * 0.01</f>
        <v>1.1645552881927735E-3</v>
      </c>
      <c r="BT96" s="213">
        <f>INDEX($A$94:$H$106,MATCH($L96,$B$94:$B$106,0),MATCH($BQ$93,$A$94:$H$94,0))*고양시_Modal_split!F$7 * 0.01</f>
        <v>3.8948337397751626E-4</v>
      </c>
      <c r="BU96" s="213">
        <f>INDEX($A$94:$H$106,MATCH($L96,$B$94:$B$106,0),MATCH($BQ$93,$A$94:$H$94,0))*고양시_Modal_split!G$7 * 0.01</f>
        <v>1.635830170705568E-4</v>
      </c>
      <c r="BV96" s="213">
        <f>INDEX($A$94:$H$106,MATCH($L96,$B$94:$B$106,0),MATCH($BQ$93,$A$94:$H$94,0))*고양시_Modal_split!H$7 * 0.01</f>
        <v>2.1772120605343158E-3</v>
      </c>
      <c r="BW96" s="213">
        <f>INDEX($A$94:$H$106,MATCH($L96,$B$94:$B$106,0),MATCH($BQ$93,$A$94:$H$94,0))*고양시_Modal_split!I$7 * 0.01</f>
        <v>7.2716545921602286E-3</v>
      </c>
      <c r="BX96" s="213">
        <f>INDEX($A$94:$H$106,MATCH($L96,$B$94:$B$106,0),MATCH($BQ$93,$A$94:$H$94,0))*고양시_Modal_split!J$7 * 0.01</f>
        <v>7.7896674795503245E-6</v>
      </c>
      <c r="BY96" s="213">
        <f>INDEX($A$94:$H$106,MATCH($L96,$B$94:$B$106,0),MATCH($BQ$93,$A$94:$H$94,0))*고양시_Modal_split!K$7 * 0.01</f>
        <v>2.9990219796268754E-3</v>
      </c>
      <c r="BZ96" s="213">
        <f>INDEX($A$94:$H$106,MATCH($L96,$B$94:$B$106,0),MATCH($BQ$93,$A$94:$H$94,0))*고양시_Modal_split!L$7 * 0.01</f>
        <v>2.7263836178426132E-5</v>
      </c>
      <c r="CA96" s="213">
        <f>INDEX($A$94:$H$106,MATCH($L96,$B$94:$B$106,0),MATCH($BQ$93,$A$94:$H$94,0))*고양시_Modal_split!M$7 * 0.01</f>
        <v>7.2833390933795537E-4</v>
      </c>
      <c r="CB96" s="213">
        <f>INDEX($A$94:$H$106,MATCH($L96,$B$94:$B$106,0),MATCH($BQ$93,$A$94:$H$94,0))*고양시_Modal_split!N$7 * 0.01</f>
        <v>1.5189851585123131E-4</v>
      </c>
      <c r="CC96" s="213">
        <f>INDEX($A$94:$H$106,MATCH($L96,$B$94:$B$106,0),MATCH($BQ$93,$A$94:$H$94,0))*고양시_Modal_split!O$7 * 0.01</f>
        <v>0</v>
      </c>
      <c r="CD96" s="213">
        <f>INDEX($A$94:$H$106,MATCH($L96,$B$94:$B$106,0),MATCH($BQ$93,$A$94:$H$94,0))*고양시_Modal_split!P$7 * 0.01</f>
        <v>3.8948337397751623E-2</v>
      </c>
      <c r="CE96" s="218">
        <f t="shared" ref="CE96:CE106" si="58">M96+AA96+AO96+BC96+BQ96</f>
        <v>34.859118691936729</v>
      </c>
      <c r="CF96" s="208">
        <f t="shared" si="39"/>
        <v>48.946413295998632</v>
      </c>
      <c r="CG96" s="208">
        <f t="shared" si="40"/>
        <v>10.432237024607391</v>
      </c>
      <c r="CH96" s="208">
        <f t="shared" si="41"/>
        <v>2.6737020966784146</v>
      </c>
      <c r="CI96" s="208">
        <f t="shared" si="42"/>
        <v>13.579642661743218</v>
      </c>
      <c r="CJ96" s="208">
        <f t="shared" si="43"/>
        <v>8.8971749088487435E-3</v>
      </c>
      <c r="CK96" s="208">
        <f t="shared" si="44"/>
        <v>4.6083460884242742</v>
      </c>
      <c r="CL96" s="208">
        <f t="shared" si="45"/>
        <v>10.608176401717378</v>
      </c>
      <c r="CM96" s="208">
        <f t="shared" si="46"/>
        <v>2.8013477119399305E-2</v>
      </c>
      <c r="CN96" s="208">
        <f t="shared" si="47"/>
        <v>5.928000529370907</v>
      </c>
      <c r="CO96" s="208">
        <f t="shared" si="48"/>
        <v>0.8473277242162317</v>
      </c>
      <c r="CP96" s="208">
        <f t="shared" si="49"/>
        <v>2.8860861204150883</v>
      </c>
      <c r="CQ96" s="208">
        <f t="shared" si="50"/>
        <v>1.364562103074108</v>
      </c>
      <c r="CR96" s="219">
        <f t="shared" si="51"/>
        <v>136.7705233902106</v>
      </c>
      <c r="CS96" s="225">
        <f t="shared" ref="CS96:CS106" si="59">H96-CR96</f>
        <v>0</v>
      </c>
      <c r="CV96" s="265"/>
      <c r="CW96" s="266" t="s">
        <v>13</v>
      </c>
      <c r="CX96" s="267">
        <f>INDEX($M$93:$Z$106,MATCH($CW96,$L$93:$L$106,0),MATCH(CX$94,$M$94:$Z$94,0))/INDEX(고양시_재차인원!$D$4:$H$35,MATCH("고양시",고양시_재차인원!$B$4:$B$35,0),MATCH('A.일산테크노밸리(859991)_수정'!$CX$93,고양시_재차인원!$D$4:$H$4,0))</f>
        <v>6.6352483734289516</v>
      </c>
      <c r="CY96" s="267">
        <f>INDEX($M$93:$Z$106,MATCH($CW96,$L$93:$L$106,0),MATCH(CY$94,$M$94:$Z$94,0))/INDEX(고양시_재차인원!$K$4:$O$20,MATCH("경기도",고양시_재차인원!$K$4:$K$20,0),MATCH('A.일산테크노밸리(859991)_수정'!CY$94,고양시_재차인원!$K$4:$O$4,0))</f>
        <v>5.4885618583309698E-5</v>
      </c>
      <c r="CZ96" s="267">
        <f>INDEX($M$93:$Z$106,MATCH($CW96,$L$93:$L$106,0),MATCH(CZ$94,$M$94:$Z$94,0))/INDEX(고양시_재차인원!$K$4:$O$20,MATCH("경기도",고양시_재차인원!$K$4:$K$20,0),MATCH('A.일산테크노밸리(859991)_수정'!CZ$94,고양시_재차인원!$K$4:$O$4,0))</f>
        <v>1.5258201966160095E-2</v>
      </c>
      <c r="DA96" s="267">
        <f>INDEX($M$93:$Z$106,MATCH($CW96,$L$93:$L$106,0),MATCH(DA$94,$M$94:$Z$94,0))/INDEX(고양시_재차인원!$K$4:$O$20,MATCH("경기도",고양시_재차인원!$K$4:$K$20,0),MATCH('A.일산테크노밸리(859991)_수정'!DA$94,고양시_재차인원!$K$4:$O$4,0))</f>
        <v>0.3181382677480486</v>
      </c>
      <c r="DB96" s="268">
        <f>INDEX($AA$93:$AN$106,MATCH($CW96,$L$93:$L$106,0),MATCH(DB$94,$AA$94:$AN$94,0))/INDEX(고양시_재차인원!$D$4:$H$35,MATCH("고양시",고양시_재차인원!$B$4:$B$35,0),MATCH('A.일산테크노밸리(859991)_수정'!$DB$93,고양시_재차인원!$D$4:$H$4,0))</f>
        <v>26.010633206910885</v>
      </c>
      <c r="DC96" s="267">
        <f>INDEX($AA$93:$AN$106,MATCH($CW96,$L$93:$L$106,0),MATCH(DC$94,$AA$94:$AN$94,0))/INDEX(고양시_재차인원!$K$4:$O$20,MATCH("경기도",고양시_재차인원!$K$4:$K$20,0),MATCH('A.일산테크노밸리(859991)_수정'!DC$94,고양시_재차인원!$K$4:$O$4,0))</f>
        <v>0</v>
      </c>
      <c r="DD96" s="267">
        <f>INDEX($AA$93:$AN$106,MATCH($CW96,$L$93:$L$106,0),MATCH(DD$94,$AA$94:$AN$94,0))/INDEX(고양시_재차인원!$K$4:$O$20,MATCH("경기도",고양시_재차인원!$K$4:$K$20,0),MATCH('A.일산테크노밸리(859991)_수정'!DD$94,고양시_재차인원!$K$4:$O$4,0))</f>
        <v>0.13823202069767965</v>
      </c>
      <c r="DE96" s="267">
        <f>INDEX($AA$93:$AN$106,MATCH($CW96,$L$93:$L$106,0),MATCH(DE$94,$AA$94:$AN$94,0))/INDEX(고양시_재차인원!$K$4:$O$20,MATCH("경기도",고양시_재차인원!$K$4:$K$20,0),MATCH('A.일산테크노밸리(859991)_수정'!DE$94,고양시_재차인원!$K$4:$O$4,0))</f>
        <v>3.5222631085429561</v>
      </c>
      <c r="DF96" s="268">
        <f>INDEX($AO$93:$BB$106,MATCH($CW96,$L$93:$L$106,0),MATCH(DF$94,$AO$94:$BB$94,0))/INDEX(고양시_재차인원!$D$4:$H$35,MATCH("고양시",고양시_재차인원!$B$4:$B$35,0),MATCH('A.일산테크노밸리(859991)_수정'!$DF$93,고양시_재차인원!$D$4:$H$4,0))</f>
        <v>3.6981055113423014</v>
      </c>
      <c r="DG96" s="267">
        <f>INDEX($AO$93:$BB$106,MATCH($CW96,$L$93:$L$106,0),MATCH(DG$94,$AO$94:$BB$94,0))/INDEX(고양시_재차인원!$K$4:$O$20,MATCH("경기도",고양시_재차인원!$K$4:$K$20,0),MATCH('A.일산테크노밸리(859991)_수정'!DG$94,고양시_재차인원!$K$4:$O$4,0))</f>
        <v>1.5951207506062829E-4</v>
      </c>
      <c r="DH96" s="267">
        <f>INDEX($AO$93:$BB$106,MATCH($CW96,$L$93:$L$106,0),MATCH(DH$94,$AO$94:$BB$94,0))/INDEX(고양시_재차인원!$K$4:$O$20,MATCH("경기도",고양시_재차인원!$K$4:$K$20,0),MATCH('A.일산테크노밸리(859991)_수정'!DH$94,고양시_재차인원!$K$4:$O$4,0))</f>
        <v>6.3121206845420065E-3</v>
      </c>
      <c r="DI96" s="267">
        <f>INDEX($AO$93:$BB$106,MATCH($CW96,$L$93:$L$106,0),MATCH(DI$94,$AO$94:$BB$94,0))/INDEX(고양시_재차인원!$K$4:$O$20,MATCH("경기도",고양시_재차인원!$K$4:$K$20,0),MATCH('A.일산테크노밸리(859991)_수정'!DI$94,고양시_재차인원!$K$4:$O$4,0))</f>
        <v>0.11152856413846186</v>
      </c>
      <c r="DJ96" s="268">
        <f>INDEX($BC$93:$BP$106,MATCH($CW96,$L$93:$L$106,0),MATCH(DJ$94,$BC$94:$BP$94,0))/INDEX(고양시_재차인원!$D$4:$H$35,MATCH("고양시",고양시_재차인원!$B$4:$B$35,0),MATCH('A.일산테크노밸리(859991)_수정'!$DJ$93,고양시_재차인원!$D$4:$H$4,0))</f>
        <v>6.2776397878828299E-3</v>
      </c>
      <c r="DK96" s="267">
        <f>INDEX($BC$93:$BP$106,MATCH($CW96,$L$93:$L$106,0),MATCH(DK$94,$BC$94:$BP$94,0))/INDEX(고양시_재차인원!$K$4:$O$20,MATCH("경기도",고양시_재차인원!$K$4:$K$20,0),MATCH('A.일산테크노밸리(859991)_수정'!DK$94,고양시_재차인원!$K$4:$O$4,0))</f>
        <v>1.9015395911964373E-5</v>
      </c>
      <c r="DL96" s="267">
        <f>INDEX($BC$93:$BP$106,MATCH($CW96,$L$93:$L$106,0),MATCH(DL$94,$BC$94:$BP$94,0))/INDEX(고양시_재차인원!$K$4:$O$20,MATCH("경기도",고양시_재차인원!$K$4:$K$20,0),MATCH('A.일산테크노밸리(859991)_수정'!DL$94,고양시_재차인원!$K$4:$O$4,0))</f>
        <v>1.2676930607976246E-5</v>
      </c>
      <c r="DM96" s="267">
        <f>INDEX($BC$93:$BP$106,MATCH($CW96,$L$93:$L$106,0),MATCH(DM$94,$BC$94:$BP$94,0))/INDEX(고양시_재차인원!$K$4:$O$20,MATCH("경기도",고양시_재차인원!$K$4:$K$20,0),MATCH('A.일산테크노밸리(859991)_수정'!DM$94,고양시_재차인원!$K$4:$O$4,0))</f>
        <v>5.2236593686396125E-5</v>
      </c>
      <c r="DN96" s="268">
        <f>INDEX($BQ$93:$CD$106,MATCH($CW96,$L$93:$L$106,0),MATCH(DN$94,$BQ$94:$CD$94,0))/INDEX(고양시_재차인원!$D$4:$H$35,MATCH("고양시",고양시_재차인원!$B$4:$B$35,0),MATCH('A.일산테크노밸리(859991)_수정'!$DN$93,고양시_재차인원!$D$4:$H$4,0))</f>
        <v>1.8942492982017615E-2</v>
      </c>
      <c r="DO96" s="267">
        <f>INDEX($BQ$93:$CD$106,MATCH($CW96,$L$93:$L$106,0),MATCH(DO$94,$BQ$94:$CD$94,0))/INDEX(고양시_재차인원!$K$4:$O$20,MATCH("경기도",고양시_재차인원!$K$4:$K$20,0),MATCH('A.일산테크노밸리(859991)_수정'!DO$94,고양시_재차인원!$K$4:$O$4,0))</f>
        <v>7.5623899289139145E-5</v>
      </c>
      <c r="DP96" s="267">
        <f>INDEX($BQ$93:$CD$106,MATCH($CW96,$L$93:$L$106,0),MATCH(DP$94,$BQ$94:$CD$94,0))/INDEX(고양시_재차인원!$K$4:$O$20,MATCH("경기도",고양시_재차인원!$K$4:$K$20,0),MATCH('A.일산테크노밸리(859991)_수정'!DP$94,고양시_재차인원!$K$4:$O$4,0))</f>
        <v>2.5257570657034488E-4</v>
      </c>
      <c r="DQ96" s="267">
        <f>INDEX($BQ$93:$CD$106,MATCH($CW96,$L$93:$L$106,0),MATCH(DQ$94,$BQ$94:$CD$94,0))/INDEX(고양시_재차인원!$K$4:$O$20,MATCH("경기도",고양시_재차인원!$K$4:$K$20,0),MATCH('A.일산테크노밸리(859991)_수정'!DQ$94,고양시_재차인원!$K$4:$O$4,0))</f>
        <v>1.817589078561742E-5</v>
      </c>
      <c r="DR96" s="269">
        <f t="shared" ref="DR96:DR106" si="60">CX96+DB96+DF96+DJ96+DN96</f>
        <v>36.36920722445204</v>
      </c>
      <c r="DS96" s="270">
        <f t="shared" si="52"/>
        <v>3.0903698884504149E-4</v>
      </c>
      <c r="DT96" s="270">
        <f t="shared" si="53"/>
        <v>0.16006759598556006</v>
      </c>
      <c r="DU96" s="270">
        <f t="shared" si="54"/>
        <v>3.9520003529139389</v>
      </c>
      <c r="DW96" s="278"/>
      <c r="DX96" s="278" t="s">
        <v>590</v>
      </c>
      <c r="DY96" s="281">
        <f t="shared" ref="DY96:DY100" si="61">DR96+DU96</f>
        <v>40.321207577365982</v>
      </c>
      <c r="DZ96" s="281">
        <f t="shared" ref="DZ96:DZ100" si="62">DS96+DT96</f>
        <v>0.1603766329744051</v>
      </c>
      <c r="EC96" s="412" t="s">
        <v>13</v>
      </c>
      <c r="ED96" s="412" t="s">
        <v>76</v>
      </c>
      <c r="EE96" s="412">
        <v>3134.9627</v>
      </c>
      <c r="EF96" s="412">
        <v>0.77555789932683494</v>
      </c>
      <c r="EG96" s="413">
        <v>859003</v>
      </c>
      <c r="EH96" s="414">
        <f t="shared" si="55"/>
        <v>30.380195262183062</v>
      </c>
      <c r="EI96" s="415">
        <f t="shared" si="56"/>
        <v>0.12083649568047433</v>
      </c>
      <c r="EJ96" s="402">
        <v>0</v>
      </c>
      <c r="EM96" s="278" t="s">
        <v>13</v>
      </c>
      <c r="EN96" s="278" t="s">
        <v>76</v>
      </c>
      <c r="EO96" s="278">
        <v>3134.9627</v>
      </c>
      <c r="EP96" s="278">
        <v>0.77555789932683494</v>
      </c>
      <c r="EQ96" s="289">
        <v>859003</v>
      </c>
      <c r="ER96" s="290">
        <f t="shared" si="37"/>
        <v>30.380195262183062</v>
      </c>
      <c r="ES96" s="291">
        <f t="shared" si="38"/>
        <v>0.12083649568047433</v>
      </c>
      <c r="ET96" s="402">
        <v>0</v>
      </c>
      <c r="EV96" s="34"/>
      <c r="EW96" s="34"/>
      <c r="EX96" s="34"/>
      <c r="EY96" s="34"/>
      <c r="EZ96" s="378"/>
      <c r="FA96" s="401"/>
      <c r="FB96" s="402"/>
      <c r="FC96" s="402"/>
    </row>
    <row r="97" spans="1:159">
      <c r="A97" s="205"/>
      <c r="B97" s="205" t="s">
        <v>14</v>
      </c>
      <c r="C97" s="400">
        <f>'A.일산테크노밸리(859991)_수정'!$P30*KTDB_TripDistribution_2035!T$12 * (1+KTDB_발생량도착량_증가율!$D$8 *5) * (1+KTDB_발생량도착량_증가율!$E$8 *5)</f>
        <v>117.71024303375826</v>
      </c>
      <c r="D97" s="400">
        <f>'A.일산테크노밸리(859991)_수정'!$P30*KTDB_TripDistribution_2035!U$12 * (1+KTDB_발생량도착량_증가율!$D$8 *5) * (1+KTDB_발생량도착량_증가율!$E$8 *5)</f>
        <v>851.89311019719537</v>
      </c>
      <c r="E97" s="400">
        <f>'A.일산테크노밸리(859991)_수정'!$P30*KTDB_TripDistribution_2035!V$12 * (1+KTDB_발생량도착량_증가율!$D$8 *5) * (1+KTDB_발생량도착량_증가율!$E$8 *5)</f>
        <v>48.87099911949651</v>
      </c>
      <c r="F97" s="400">
        <f>'A.일산테크노밸리(859991)_수정'!$P30*KTDB_TripDistribution_2035!W$12 * (1+KTDB_발생량도착량_증가율!$D$8 *5) * (1+KTDB_발생량도착량_증가율!$E$8 *5)</f>
        <v>7.6800941518328419E-2</v>
      </c>
      <c r="G97" s="400">
        <f>'A.일산테크노밸리(859991)_수정'!$P30*KTDB_TripDistribution_2035!X$12 * (1+KTDB_발생량도착량_증가율!$D$8 *5) * (1+KTDB_발생량도착량_증가율!$E$8 *5)</f>
        <v>0.29013689018035266</v>
      </c>
      <c r="H97" s="400">
        <f>'A.일산테크노밸리(859991)_수정'!$P30*KTDB_TripDistribution_2035!Y$12 * (1+KTDB_발생량도착량_증가율!$D$8 *5) * (1+KTDB_발생량도착량_증가율!$E$8 *5)</f>
        <v>1018.8412901821489</v>
      </c>
      <c r="J97" s="230">
        <f t="shared" si="57"/>
        <v>1018.8412901821488</v>
      </c>
      <c r="K97" s="206"/>
      <c r="L97" s="209" t="s">
        <v>14</v>
      </c>
      <c r="M97" s="213">
        <f>INDEX($A$94:$H$106,MATCH($L97,$B$94:$B$106,0),MATCH($M$93,$A$94:$H$94,0))*고양시_Modal_split!C$3 * 0.01</f>
        <v>0.32958868049452306</v>
      </c>
      <c r="N97" s="213">
        <f>INDEX($A$94:$H$106,MATCH($L97,$B$94:$B$106,0),MATCH($M$93,$A$94:$H$94,0))*고양시_Modal_split!D$3 * 0.01</f>
        <v>55.359127298776514</v>
      </c>
      <c r="O97" s="213">
        <f>INDEX($A$94:$H$106,MATCH($L97,$B$94:$B$106,0),MATCH($M$93,$A$94:$H$94,0))*고양시_Modal_split!E$3 * 0.01</f>
        <v>6.6977128286208449</v>
      </c>
      <c r="P97" s="213">
        <f>INDEX($A$94:$H$106,MATCH($L97,$B$94:$B$106,0),MATCH($M$93,$A$94:$H$94,0))*고양시_Modal_split!F$3 * 0.01</f>
        <v>10.794029286195633</v>
      </c>
      <c r="Q97" s="213">
        <f>INDEX($A$94:$H$106,MATCH($L97,$B$94:$B$106,0),MATCH($M$93,$A$94:$H$94,0))*고양시_Modal_split!G$3 * 0.01</f>
        <v>1.082934235910576</v>
      </c>
      <c r="R97" s="213">
        <f>INDEX($A$94:$H$106,MATCH($L97,$B$94:$B$106,0),MATCH($M$93,$A$94:$H$94,0))*고양시_Modal_split!H$3 * 0.01</f>
        <v>1.1771024303375826E-2</v>
      </c>
      <c r="S97" s="213">
        <f>INDEX($A$94:$H$106,MATCH($L97,$B$94:$B$106,0),MATCH($M$93,$A$94:$H$94,0))*고양시_Modal_split!I$3 * 0.01</f>
        <v>3.2723447563384793</v>
      </c>
      <c r="T97" s="213">
        <f>INDEX($A$94:$H$106,MATCH($L97,$B$94:$B$106,0),MATCH($M$93,$A$94:$H$94,0))*고양시_Modal_split!J$3 * 0.01</f>
        <v>35.830997979476017</v>
      </c>
      <c r="U97" s="213">
        <f>INDEX($A$94:$H$106,MATCH($L97,$B$94:$B$106,0),MATCH($M$93,$A$94:$H$94,0))*고양시_Modal_split!K$3 * 0.01</f>
        <v>0.17656536455063737</v>
      </c>
      <c r="V97" s="213">
        <f>INDEX($A$94:$H$106,MATCH($L97,$B$94:$B$106,0),MATCH($M$93,$A$94:$H$94,0))*고양시_Modal_split!L$3 * 0.01</f>
        <v>3.5548493396194996</v>
      </c>
      <c r="W97" s="213">
        <f>INDEX($A$94:$H$106,MATCH($L97,$B$94:$B$106,0),MATCH($M$93,$A$94:$H$94,0))*고양시_Modal_split!M$3 * 0.01</f>
        <v>0.27073355897764401</v>
      </c>
      <c r="X97" s="213">
        <f>INDEX($A$94:$H$106,MATCH($L97,$B$94:$B$106,0),MATCH($M$93,$A$94:$H$94,0))*고양시_Modal_split!N$3 * 0.01</f>
        <v>0.11771024303375827</v>
      </c>
      <c r="Y97" s="213">
        <f>INDEX($A$94:$H$106,MATCH($L97,$B$94:$B$106,0),MATCH($M$93,$A$94:$H$94,0))*고양시_Modal_split!O$3 * 0.01</f>
        <v>0.21187843746076485</v>
      </c>
      <c r="Z97" s="213">
        <f>INDEX($A$94:$H$106,MATCH($L97,$B$94:$B$106,0),MATCH($M$93,$A$94:$H$94,0))*고양시_Modal_split!P$3 * 0.01</f>
        <v>117.71024303375826</v>
      </c>
      <c r="AA97" s="213">
        <f>INDEX($A$94:$H$106,MATCH($L97,$B$94:$B$106,0),MATCH($AA$93,$A$94:$H$94,0))*고양시_Modal_split!C$4 * 0.01</f>
        <v>259.31626274402629</v>
      </c>
      <c r="AB97" s="213">
        <f>INDEX($A$94:$H$106,MATCH($L97,$B$94:$B$106,0),MATCH($AA$93,$A$94:$H$94,0))*고양시_Modal_split!D$4 * 0.01</f>
        <v>273.20212044024055</v>
      </c>
      <c r="AC97" s="213">
        <f>INDEX($A$94:$H$106,MATCH($L97,$B$94:$B$106,0),MATCH($AA$93,$A$94:$H$94,0))*고양시_Modal_split!E$4 * 0.01</f>
        <v>66.192094662322091</v>
      </c>
      <c r="AD97" s="213">
        <f>INDEX($A$94:$H$106,MATCH($L97,$B$94:$B$106,0),MATCH($AA$93,$A$94:$H$94,0))*고양시_Modal_split!F$4 * 0.01</f>
        <v>8.0929845468733568</v>
      </c>
      <c r="AE97" s="213">
        <f>INDEX($A$94:$H$106,MATCH($L97,$B$94:$B$106,0),MATCH($AA$93,$A$94:$H$94,0))*고양시_Modal_split!G$4 * 0.01</f>
        <v>99.756683204091573</v>
      </c>
      <c r="AF97" s="213">
        <f>INDEX($A$94:$H$106,MATCH($L97,$B$94:$B$106,0),MATCH($AA$93,$A$94:$H$94,0))*고양시_Modal_split!H$4 * 0.01</f>
        <v>0</v>
      </c>
      <c r="AG97" s="213">
        <f>INDEX($A$94:$H$106,MATCH($L97,$B$94:$B$106,0),MATCH($AA$93,$A$94:$H$94,0))*고양시_Modal_split!I$4 * 0.01</f>
        <v>29.645880234862393</v>
      </c>
      <c r="AH97" s="213">
        <f>INDEX($A$94:$H$106,MATCH($L97,$B$94:$B$106,0),MATCH($AA$93,$A$94:$H$94,0))*고양시_Modal_split!J$4 * 0.01</f>
        <v>40.124165490287901</v>
      </c>
      <c r="AI97" s="213">
        <f>INDEX($A$94:$H$106,MATCH($L97,$B$94:$B$106,0),MATCH($AA$93,$A$94:$H$94,0))*고양시_Modal_split!K$4 * 0.01</f>
        <v>0</v>
      </c>
      <c r="AJ97" s="213">
        <f>INDEX($A$94:$H$106,MATCH($L97,$B$94:$B$106,0),MATCH($AA$93,$A$94:$H$94,0))*고양시_Modal_split!L$4 * 0.01</f>
        <v>39.357461691110423</v>
      </c>
      <c r="AK97" s="213">
        <f>INDEX($A$94:$H$106,MATCH($L97,$B$94:$B$106,0),MATCH($AA$93,$A$94:$H$94,0))*고양시_Modal_split!M$4 * 0.01</f>
        <v>5.7076838383212092</v>
      </c>
      <c r="AL97" s="213">
        <f>INDEX($A$94:$H$106,MATCH($L97,$B$94:$B$106,0),MATCH($AA$93,$A$94:$H$94,0))*고양시_Modal_split!N$4 * 0.01</f>
        <v>21.297327754929885</v>
      </c>
      <c r="AM97" s="213">
        <f>INDEX($A$94:$H$106,MATCH($L97,$B$94:$B$106,0),MATCH($AA$93,$A$94:$H$94,0))*고양시_Modal_split!O$4 * 0.01</f>
        <v>9.2004455901297106</v>
      </c>
      <c r="AN97" s="213">
        <f>INDEX($A$94:$H$106,MATCH($L97,$B$94:$B$106,0),MATCH($AA$93,$A$94:$H$94,0))*고양시_Modal_split!P$4 * 0.01</f>
        <v>851.89311019719537</v>
      </c>
      <c r="AO97" s="213">
        <f>INDEX($A$94:$H$106,MATCH($L97,$B$94:$B$106,0),MATCH($AO$93,$A$94:$H$94,0))*고양시_Modal_split!C$5 * 0.01</f>
        <v>2.9322599471697904E-2</v>
      </c>
      <c r="AP97" s="213">
        <f>INDEX($A$94:$H$106,MATCH($L97,$B$94:$B$106,0),MATCH($AO$93,$A$94:$H$94,0))*고양시_Modal_split!D$5 * 0.01</f>
        <v>35.812668154767046</v>
      </c>
      <c r="AQ97" s="213">
        <f>INDEX($A$94:$H$106,MATCH($L97,$B$94:$B$106,0),MATCH($AO$93,$A$94:$H$94,0))*고양시_Modal_split!E$5 * 0.01</f>
        <v>4.8137934132704059</v>
      </c>
      <c r="AR97" s="213">
        <f>INDEX($A$94:$H$106,MATCH($L97,$B$94:$B$106,0),MATCH($AO$93,$A$94:$H$94,0))*고양시_Modal_split!F$5 * 0.01</f>
        <v>1.0262909815094268</v>
      </c>
      <c r="AS97" s="213">
        <f>INDEX($A$94:$H$106,MATCH($L97,$B$94:$B$106,0),MATCH($AO$93,$A$94:$H$94,0))*고양시_Modal_split!G$5 * 0.01</f>
        <v>0.31766149427672735</v>
      </c>
      <c r="AT97" s="213">
        <f>INDEX($A$94:$H$106,MATCH($L97,$B$94:$B$106,0),MATCH($AO$93,$A$94:$H$94,0))*고양시_Modal_split!H$5 * 0.01</f>
        <v>3.4209699383647554E-2</v>
      </c>
      <c r="AU97" s="213">
        <f>INDEX($A$94:$H$106,MATCH($L97,$B$94:$B$106,0),MATCH($AO$93,$A$94:$H$94,0))*고양시_Modal_split!I$5 * 0.01</f>
        <v>1.3537266756100532</v>
      </c>
      <c r="AV97" s="213">
        <f>INDEX($A$94:$H$106,MATCH($L97,$B$94:$B$106,0),MATCH($AO$93,$A$94:$H$94,0))*고양시_Modal_split!J$5 * 0.01</f>
        <v>3.0642116447924317</v>
      </c>
      <c r="AW97" s="213">
        <f>INDEX($A$94:$H$106,MATCH($L97,$B$94:$B$106,0),MATCH($AO$93,$A$94:$H$94,0))*고양시_Modal_split!K$5 * 0.01</f>
        <v>9.774199823899302E-3</v>
      </c>
      <c r="AX97" s="213">
        <f>INDEX($A$94:$H$106,MATCH($L97,$B$94:$B$106,0),MATCH($AO$93,$A$94:$H$94,0))*고양시_Modal_split!L$5 * 0.01</f>
        <v>1.246210477547161</v>
      </c>
      <c r="AY97" s="213">
        <f>INDEX($A$94:$H$106,MATCH($L97,$B$94:$B$106,0),MATCH($AO$93,$A$94:$H$94,0))*고양시_Modal_split!M$5 * 0.01</f>
        <v>0.32743569410062662</v>
      </c>
      <c r="AZ97" s="213">
        <f>INDEX($A$94:$H$106,MATCH($L97,$B$94:$B$106,0),MATCH($AO$93,$A$94:$H$94,0))*고양시_Modal_split!N$5 * 0.01</f>
        <v>8.3080698503144049E-2</v>
      </c>
      <c r="BA97" s="213">
        <f>INDEX($A$94:$H$106,MATCH($L97,$B$94:$B$106,0),MATCH($AO$93,$A$94:$H$94,0))*고양시_Modal_split!O$5 * 0.01</f>
        <v>0.75261338644024633</v>
      </c>
      <c r="BB97" s="213">
        <f>INDEX($A$94:$H$106,MATCH($L97,$B$94:$B$106,0),MATCH($AO$93,$A$94:$H$94,0))*고양시_Modal_split!P$5 * 0.01</f>
        <v>48.870999119496503</v>
      </c>
      <c r="BC97" s="213">
        <f>INDEX($A$94:$H$106,MATCH($L97,$B$94:$B$106,0),MATCH($BC$93,$A$94:$H$94,0))*고양시_Modal_split!C$6 * 0.01</f>
        <v>0</v>
      </c>
      <c r="BD97" s="207">
        <f>INDEX($A$94:$H$106,MATCH($L97,$B$94:$B$106,0),MATCH($BC$93,$A$94:$H$94,0))*고양시_Modal_split!D$6 * 0.01</f>
        <v>6.3598859671327765E-2</v>
      </c>
      <c r="BE97" s="207">
        <f>INDEX($A$94:$H$106,MATCH($L97,$B$94:$B$106,0),MATCH($BC$93,$A$94:$H$94,0))*고양시_Modal_split!E$6 * 0.01</f>
        <v>3.302440485288122E-4</v>
      </c>
      <c r="BF97" s="207">
        <f>INDEX($A$94:$H$106,MATCH($L97,$B$94:$B$106,0),MATCH($BC$93,$A$94:$H$94,0))*고양시_Modal_split!F$6 * 0.01</f>
        <v>9.3697148652360676E-4</v>
      </c>
      <c r="BG97" s="207">
        <f>INDEX($A$94:$H$106,MATCH($L97,$B$94:$B$106,0),MATCH($BC$93,$A$94:$H$94,0))*고양시_Modal_split!G$6 * 0.01</f>
        <v>0</v>
      </c>
      <c r="BH97" s="207">
        <f>INDEX($A$94:$H$106,MATCH($L97,$B$94:$B$106,0),MATCH($BC$93,$A$94:$H$94,0))*고양시_Modal_split!H$6 * 0.01</f>
        <v>4.0781299946232395E-3</v>
      </c>
      <c r="BI97" s="207">
        <f>INDEX($A$94:$H$106,MATCH($L97,$B$94:$B$106,0),MATCH($BC$93,$A$94:$H$94,0))*고양시_Modal_split!I$6 * 0.01</f>
        <v>2.7187533297488259E-3</v>
      </c>
      <c r="BJ97" s="207">
        <f>INDEX($A$94:$H$106,MATCH($L97,$B$94:$B$106,0),MATCH($BC$93,$A$94:$H$94,0))*고양시_Modal_split!J$6 * 0.01</f>
        <v>3.7939665110054239E-3</v>
      </c>
      <c r="BK97" s="207">
        <f>INDEX($A$94:$H$106,MATCH($L97,$B$94:$B$106,0),MATCH($BC$93,$A$94:$H$94,0))*고양시_Modal_split!K$6 * 0.01</f>
        <v>0</v>
      </c>
      <c r="BL97" s="207">
        <f>INDEX($A$94:$H$106,MATCH($L97,$B$94:$B$106,0),MATCH($BC$93,$A$94:$H$94,0))*고양시_Modal_split!L$6 * 0.01</f>
        <v>5.8368715553929601E-4</v>
      </c>
      <c r="BM97" s="207">
        <f>INDEX($A$94:$H$106,MATCH($L97,$B$94:$B$106,0),MATCH($BC$93,$A$94:$H$94,0))*고양시_Modal_split!M$6 * 0.01</f>
        <v>6.9888856781678865E-4</v>
      </c>
      <c r="BN97" s="207">
        <f>INDEX($A$94:$H$106,MATCH($L97,$B$94:$B$106,0),MATCH($BC$93,$A$94:$H$94,0))*고양시_Modal_split!N$6 * 0.01</f>
        <v>0</v>
      </c>
      <c r="BO97" s="207">
        <f>INDEX($A$94:$H$106,MATCH($L97,$B$94:$B$106,0),MATCH($BC$93,$A$94:$H$94,0))*고양시_Modal_split!O$6 * 0.01</f>
        <v>6.1440753214662741E-5</v>
      </c>
      <c r="BP97" s="214">
        <f>INDEX($A$94:$H$106,MATCH($L97,$B$94:$B$106,0),MATCH($BC$93,$A$94:$H$94,0))*고양시_Modal_split!P$6 * 0.01</f>
        <v>7.6800941518328419E-2</v>
      </c>
      <c r="BQ97" s="213">
        <f>INDEX($A$94:$H$106,MATCH($L97,$B$94:$B$106,0),MATCH($BQ$93,$A$94:$H$94,0))*고양시_Modal_split!C$7 * 0.01</f>
        <v>0</v>
      </c>
      <c r="BR97" s="213">
        <f>INDEX($A$94:$H$106,MATCH($L97,$B$94:$B$106,0),MATCH($BQ$93,$A$94:$H$94,0))*고양시_Modal_split!D$7 * 0.01</f>
        <v>0.17779588630252011</v>
      </c>
      <c r="BS97" s="213">
        <f>INDEX($A$94:$H$106,MATCH($L97,$B$94:$B$106,0),MATCH($BQ$93,$A$94:$H$94,0))*고양시_Modal_split!E$7 * 0.01</f>
        <v>8.6750930163925436E-3</v>
      </c>
      <c r="BT97" s="213">
        <f>INDEX($A$94:$H$106,MATCH($L97,$B$94:$B$106,0),MATCH($BQ$93,$A$94:$H$94,0))*고양시_Modal_split!F$7 * 0.01</f>
        <v>2.9013689018035265E-3</v>
      </c>
      <c r="BU97" s="213">
        <f>INDEX($A$94:$H$106,MATCH($L97,$B$94:$B$106,0),MATCH($BQ$93,$A$94:$H$94,0))*고양시_Modal_split!G$7 * 0.01</f>
        <v>1.2185749387574811E-3</v>
      </c>
      <c r="BV97" s="213">
        <f>INDEX($A$94:$H$106,MATCH($L97,$B$94:$B$106,0),MATCH($BQ$93,$A$94:$H$94,0))*고양시_Modal_split!H$7 * 0.01</f>
        <v>1.6218652161081714E-2</v>
      </c>
      <c r="BW97" s="213">
        <f>INDEX($A$94:$H$106,MATCH($L97,$B$94:$B$106,0),MATCH($BQ$93,$A$94:$H$94,0))*고양시_Modal_split!I$7 * 0.01</f>
        <v>5.4168557396671847E-2</v>
      </c>
      <c r="BX97" s="213">
        <f>INDEX($A$94:$H$106,MATCH($L97,$B$94:$B$106,0),MATCH($BQ$93,$A$94:$H$94,0))*고양시_Modal_split!J$7 * 0.01</f>
        <v>5.8027378036070531E-5</v>
      </c>
      <c r="BY97" s="213">
        <f>INDEX($A$94:$H$106,MATCH($L97,$B$94:$B$106,0),MATCH($BQ$93,$A$94:$H$94,0))*고양시_Modal_split!K$7 * 0.01</f>
        <v>2.2340540543887157E-2</v>
      </c>
      <c r="BZ97" s="213">
        <f>INDEX($A$94:$H$106,MATCH($L97,$B$94:$B$106,0),MATCH($BQ$93,$A$94:$H$94,0))*고양시_Modal_split!L$7 * 0.01</f>
        <v>2.0309582312624683E-4</v>
      </c>
      <c r="CA97" s="213">
        <f>INDEX($A$94:$H$106,MATCH($L97,$B$94:$B$106,0),MATCH($BQ$93,$A$94:$H$94,0))*고양시_Modal_split!M$7 * 0.01</f>
        <v>5.4255598463725952E-3</v>
      </c>
      <c r="CB97" s="213">
        <f>INDEX($A$94:$H$106,MATCH($L97,$B$94:$B$106,0),MATCH($BQ$93,$A$94:$H$94,0))*고양시_Modal_split!N$7 * 0.01</f>
        <v>1.1315338717033754E-3</v>
      </c>
      <c r="CC97" s="213">
        <f>INDEX($A$94:$H$106,MATCH($L97,$B$94:$B$106,0),MATCH($BQ$93,$A$94:$H$94,0))*고양시_Modal_split!O$7 * 0.01</f>
        <v>0</v>
      </c>
      <c r="CD97" s="213">
        <f>INDEX($A$94:$H$106,MATCH($L97,$B$94:$B$106,0),MATCH($BQ$93,$A$94:$H$94,0))*고양시_Modal_split!P$7 * 0.01</f>
        <v>0.29013689018035266</v>
      </c>
      <c r="CE97" s="218">
        <f t="shared" si="58"/>
        <v>259.6751740239925</v>
      </c>
      <c r="CF97" s="208">
        <f t="shared" si="39"/>
        <v>364.61531063975798</v>
      </c>
      <c r="CG97" s="208">
        <f t="shared" si="40"/>
        <v>77.712606241278266</v>
      </c>
      <c r="CH97" s="208">
        <f t="shared" si="41"/>
        <v>19.917143154966745</v>
      </c>
      <c r="CI97" s="208">
        <f t="shared" si="42"/>
        <v>101.15849750921764</v>
      </c>
      <c r="CJ97" s="208">
        <f t="shared" si="43"/>
        <v>6.6277505842728332E-2</v>
      </c>
      <c r="CK97" s="208">
        <f t="shared" si="44"/>
        <v>34.328838977537352</v>
      </c>
      <c r="CL97" s="208">
        <f t="shared" si="45"/>
        <v>79.023227108445397</v>
      </c>
      <c r="CM97" s="208">
        <f t="shared" si="46"/>
        <v>0.20868010491842381</v>
      </c>
      <c r="CN97" s="208">
        <f t="shared" si="47"/>
        <v>44.159308291255748</v>
      </c>
      <c r="CO97" s="208">
        <f t="shared" si="48"/>
        <v>6.3119775398136682</v>
      </c>
      <c r="CP97" s="208">
        <f t="shared" si="49"/>
        <v>21.499250230338493</v>
      </c>
      <c r="CQ97" s="208">
        <f t="shared" si="50"/>
        <v>10.164998854783937</v>
      </c>
      <c r="CR97" s="219">
        <f t="shared" si="51"/>
        <v>1018.8412901821488</v>
      </c>
      <c r="CS97" s="225">
        <f t="shared" si="59"/>
        <v>0</v>
      </c>
      <c r="CV97" s="265"/>
      <c r="CW97" s="266" t="s">
        <v>14</v>
      </c>
      <c r="CX97" s="267">
        <f>INDEX($M$93:$Z$106,MATCH($CW97,$L$93:$L$106,0),MATCH(CX$94,$M$94:$Z$94,0))/INDEX(고양시_재차인원!$D$4:$H$35,MATCH("고양시",고양시_재차인원!$B$4:$B$35,0),MATCH('A.일산테크노밸리(859991)_수정'!$CX$93,고양시_재차인원!$D$4:$H$4,0))</f>
        <v>49.427792231050454</v>
      </c>
      <c r="CY97" s="267">
        <f>INDEX($M$93:$Z$106,MATCH($CW97,$L$93:$L$106,0),MATCH(CY$94,$M$94:$Z$94,0))/INDEX(고양시_재차인원!$K$4:$O$20,MATCH("경기도",고양시_재차인원!$K$4:$K$20,0),MATCH('A.일산테크노밸리(859991)_수정'!CY$94,고양시_재차인원!$K$4:$O$4,0))</f>
        <v>4.0885808625827809E-4</v>
      </c>
      <c r="CZ97" s="267">
        <f>INDEX($M$93:$Z$106,MATCH($CW97,$L$93:$L$106,0),MATCH(CZ$94,$M$94:$Z$94,0))/INDEX(고양시_재차인원!$K$4:$O$20,MATCH("경기도",고양시_재차인원!$K$4:$K$20,0),MATCH('A.일산테크노밸리(859991)_수정'!CZ$94,고양시_재차인원!$K$4:$O$4,0))</f>
        <v>0.1136625479798013</v>
      </c>
      <c r="DA97" s="267">
        <f>INDEX($M$93:$Z$106,MATCH($CW97,$L$93:$L$106,0),MATCH(DA$94,$M$94:$Z$94,0))/INDEX(고양시_재차인원!$K$4:$O$20,MATCH("경기도",고양시_재차인원!$K$4:$K$20,0),MATCH('A.일산테크노밸리(859991)_수정'!DA$94,고양시_재차인원!$K$4:$O$4,0))</f>
        <v>2.369899559746333</v>
      </c>
      <c r="DB97" s="268">
        <f>INDEX($AA$93:$AN$106,MATCH($CW97,$L$93:$L$106,0),MATCH(DB$94,$AA$94:$AN$94,0))/INDEX(고양시_재차인원!$D$4:$H$35,MATCH("고양시",고양시_재차인원!$B$4:$B$35,0),MATCH('A.일산테크노밸리(859991)_수정'!$DB$93,고양시_재차인원!$D$4:$H$4,0))</f>
        <v>193.76036910655358</v>
      </c>
      <c r="DC97" s="267">
        <f>INDEX($AA$93:$AN$106,MATCH($CW97,$L$93:$L$106,0),MATCH(DC$94,$AA$94:$AN$94,0))/INDEX(고양시_재차인원!$K$4:$O$20,MATCH("경기도",고양시_재차인원!$K$4:$K$20,0),MATCH('A.일산테크노밸리(859991)_수정'!DC$94,고양시_재차인원!$K$4:$O$4,0))</f>
        <v>0</v>
      </c>
      <c r="DD97" s="267">
        <f>INDEX($AA$93:$AN$106,MATCH($CW97,$L$93:$L$106,0),MATCH(DD$94,$AA$94:$AN$94,0))/INDEX(고양시_재차인원!$K$4:$O$20,MATCH("경기도",고양시_재차인원!$K$4:$K$20,0),MATCH('A.일산테크노밸리(859991)_수정'!DD$94,고양시_재차인원!$K$4:$O$4,0))</f>
        <v>1.029728386066773</v>
      </c>
      <c r="DE97" s="267">
        <f>INDEX($AA$93:$AN$106,MATCH($CW97,$L$93:$L$106,0),MATCH(DE$94,$AA$94:$AN$94,0))/INDEX(고양시_재차인원!$K$4:$O$20,MATCH("경기도",고양시_재차인원!$K$4:$K$20,0),MATCH('A.일산테크노밸리(859991)_수정'!DE$94,고양시_재차인원!$K$4:$O$4,0))</f>
        <v>26.238307794073616</v>
      </c>
      <c r="DF97" s="268">
        <f>INDEX($AO$93:$BB$106,MATCH($CW97,$L$93:$L$106,0),MATCH(DF$94,$AO$94:$BB$94,0))/INDEX(고양시_재차인원!$D$4:$H$35,MATCH("고양시",고양시_재차인원!$B$4:$B$35,0),MATCH('A.일산테크노밸리(859991)_수정'!$DF$93,고양시_재차인원!$D$4:$H$4,0))</f>
        <v>27.548206272897726</v>
      </c>
      <c r="DG97" s="267">
        <f>INDEX($AO$93:$BB$106,MATCH($CW97,$L$93:$L$106,0),MATCH(DG$94,$AO$94:$BB$94,0))/INDEX(고양시_재차인원!$K$4:$O$20,MATCH("경기도",고양시_재차인원!$K$4:$K$20,0),MATCH('A.일산테크노밸리(859991)_수정'!DG$94,고양시_재차인원!$K$4:$O$4,0))</f>
        <v>1.1882493707414919E-3</v>
      </c>
      <c r="DH97" s="267">
        <f>INDEX($AO$93:$BB$106,MATCH($CW97,$L$93:$L$106,0),MATCH(DH$94,$AO$94:$BB$94,0))/INDEX(고양시_재차인원!$K$4:$O$20,MATCH("경기도",고양시_재차인원!$K$4:$K$20,0),MATCH('A.일산테크노밸리(859991)_수정'!DH$94,고양시_재차인원!$K$4:$O$4,0))</f>
        <v>4.7020725099341895E-2</v>
      </c>
      <c r="DI97" s="267">
        <f>INDEX($AO$93:$BB$106,MATCH($CW97,$L$93:$L$106,0),MATCH(DI$94,$AO$94:$BB$94,0))/INDEX(고양시_재차인원!$K$4:$O$20,MATCH("경기도",고양시_재차인원!$K$4:$K$20,0),MATCH('A.일산테크노밸리(859991)_수정'!DI$94,고양시_재차인원!$K$4:$O$4,0))</f>
        <v>0.83080698503144068</v>
      </c>
      <c r="DJ97" s="268">
        <f>INDEX($BC$93:$BP$106,MATCH($CW97,$L$93:$L$106,0),MATCH(DJ$94,$BC$94:$BP$94,0))/INDEX(고양시_재차인원!$D$4:$H$35,MATCH("고양시",고양시_재차인원!$B$4:$B$35,0),MATCH('A.일산테크노밸리(859991)_수정'!$DJ$93,고양시_재차인원!$D$4:$H$4,0))</f>
        <v>4.6763867405388057E-2</v>
      </c>
      <c r="DK97" s="267">
        <f>INDEX($BC$93:$BP$106,MATCH($CW97,$L$93:$L$106,0),MATCH(DK$94,$BC$94:$BP$94,0))/INDEX(고양시_재차인원!$K$4:$O$20,MATCH("경기도",고양시_재차인원!$K$4:$K$20,0),MATCH('A.일산테크노밸리(859991)_수정'!DK$94,고양시_재차인원!$K$4:$O$4,0))</f>
        <v>1.416509202717346E-4</v>
      </c>
      <c r="DL97" s="267">
        <f>INDEX($BC$93:$BP$106,MATCH($CW97,$L$93:$L$106,0),MATCH(DL$94,$BC$94:$BP$94,0))/INDEX(고양시_재차인원!$K$4:$O$20,MATCH("경기도",고양시_재차인원!$K$4:$K$20,0),MATCH('A.일산테크노밸리(859991)_수정'!DL$94,고양시_재차인원!$K$4:$O$4,0))</f>
        <v>9.4433946847823056E-5</v>
      </c>
      <c r="DM97" s="267">
        <f>INDEX($BC$93:$BP$106,MATCH($CW97,$L$93:$L$106,0),MATCH(DM$94,$BC$94:$BP$94,0))/INDEX(고양시_재차인원!$K$4:$O$20,MATCH("경기도",고양시_재차인원!$K$4:$K$20,0),MATCH('A.일산테크노밸리(859991)_수정'!DM$94,고양시_재차인원!$K$4:$O$4,0))</f>
        <v>3.8912477035953069E-4</v>
      </c>
      <c r="DN97" s="268">
        <f>INDEX($BQ$93:$CD$106,MATCH($CW97,$L$93:$L$106,0),MATCH(DN$94,$BQ$94:$CD$94,0))/INDEX(고양시_재차인원!$D$4:$H$35,MATCH("고양시",고양시_재차인원!$B$4:$B$35,0),MATCH('A.일산테크노밸리(859991)_수정'!$DN$93,고양시_재차인원!$D$4:$H$4,0))</f>
        <v>0.14110784627184136</v>
      </c>
      <c r="DO97" s="267">
        <f>INDEX($BQ$93:$CD$106,MATCH($CW97,$L$93:$L$106,0),MATCH(DO$94,$BQ$94:$CD$94,0))/INDEX(고양시_재차인원!$K$4:$O$20,MATCH("경기도",고양시_재차인원!$K$4:$K$20,0),MATCH('A.일산테크노밸리(859991)_수정'!DO$94,고양시_재차인원!$K$4:$O$4,0))</f>
        <v>5.6334324977706546E-4</v>
      </c>
      <c r="DP97" s="267">
        <f>INDEX($BQ$93:$CD$106,MATCH($CW97,$L$93:$L$106,0),MATCH(DP$94,$BQ$94:$CD$94,0))/INDEX(고양시_재차인원!$K$4:$O$20,MATCH("경기도",고양시_재차인원!$K$4:$K$20,0),MATCH('A.일산테크노밸리(859991)_수정'!DP$94,고양시_재차인원!$K$4:$O$4,0))</f>
        <v>1.881505988074743E-3</v>
      </c>
      <c r="DQ97" s="267">
        <f>INDEX($BQ$93:$CD$106,MATCH($CW97,$L$93:$L$106,0),MATCH(DQ$94,$BQ$94:$CD$94,0))/INDEX(고양시_재차인원!$K$4:$O$20,MATCH("경기도",고양시_재차인원!$K$4:$K$20,0),MATCH('A.일산테크노밸리(859991)_수정'!DQ$94,고양시_재차인원!$K$4:$O$4,0))</f>
        <v>1.3539721541749788E-4</v>
      </c>
      <c r="DR97" s="269">
        <f t="shared" si="60"/>
        <v>270.92423932417898</v>
      </c>
      <c r="DS97" s="270">
        <f t="shared" si="52"/>
        <v>2.3021016270485702E-3</v>
      </c>
      <c r="DT97" s="270">
        <f t="shared" si="53"/>
        <v>1.1923875990808388</v>
      </c>
      <c r="DU97" s="270">
        <f t="shared" si="54"/>
        <v>29.439538860837164</v>
      </c>
      <c r="DW97" s="278"/>
      <c r="DX97" s="278" t="s">
        <v>591</v>
      </c>
      <c r="DY97" s="281">
        <f t="shared" si="61"/>
        <v>300.36377818501614</v>
      </c>
      <c r="DZ97" s="281">
        <f t="shared" si="62"/>
        <v>1.1946897007078874</v>
      </c>
      <c r="EC97" s="412" t="s">
        <v>14</v>
      </c>
      <c r="ED97" s="412" t="s">
        <v>569</v>
      </c>
      <c r="EE97" s="412">
        <v>5454.9395000000004</v>
      </c>
      <c r="EF97" s="412">
        <v>0.43129277327301779</v>
      </c>
      <c r="EG97" s="413">
        <v>859004</v>
      </c>
      <c r="EH97" s="414">
        <f t="shared" si="55"/>
        <v>125.85270216797814</v>
      </c>
      <c r="EI97" s="415">
        <f t="shared" si="56"/>
        <v>0.5005760947437744</v>
      </c>
      <c r="EJ97" s="402">
        <v>0</v>
      </c>
      <c r="EM97" s="278" t="s">
        <v>14</v>
      </c>
      <c r="EN97" s="278" t="s">
        <v>569</v>
      </c>
      <c r="EO97" s="278">
        <v>5454.9395000000004</v>
      </c>
      <c r="EP97" s="278">
        <v>0.43129277327301779</v>
      </c>
      <c r="EQ97" s="289">
        <v>859004</v>
      </c>
      <c r="ER97" s="290">
        <f t="shared" si="37"/>
        <v>125.85270216797814</v>
      </c>
      <c r="ES97" s="291">
        <f t="shared" si="38"/>
        <v>0.5005760947437744</v>
      </c>
      <c r="ET97" s="402">
        <v>0</v>
      </c>
      <c r="EV97" s="34"/>
      <c r="EW97" s="34"/>
      <c r="EX97" s="34"/>
      <c r="EY97" s="34"/>
      <c r="EZ97" s="378"/>
      <c r="FA97" s="401"/>
      <c r="FB97" s="402"/>
      <c r="FC97" s="402"/>
    </row>
    <row r="98" spans="1:159" ht="16.5" customHeight="1">
      <c r="A98" s="205"/>
      <c r="B98" s="205" t="s">
        <v>15</v>
      </c>
      <c r="C98" s="400">
        <f>'A.일산테크노밸리(859991)_수정'!$P31*KTDB_TripDistribution_2035!T$12 * (1+KTDB_발생량도착량_증가율!$D$8 *5) * (1+KTDB_발생량도착량_증가율!$E$8 *5)</f>
        <v>3321.4212253698693</v>
      </c>
      <c r="D98" s="400">
        <f>'A.일산테크노밸리(859991)_수정'!$P31*KTDB_TripDistribution_2035!U$12 * (1+KTDB_발생량도착량_증가율!$D$8 *5) * (1+KTDB_발생량도착량_증가율!$E$8 *5)</f>
        <v>24037.804910009771</v>
      </c>
      <c r="E98" s="400">
        <f>'A.일산테크노밸리(859991)_수정'!$P31*KTDB_TripDistribution_2035!V$12 * (1+KTDB_발생량도착량_증가율!$D$8 *5) * (1+KTDB_발생량도착량_증가율!$E$8 *5)</f>
        <v>1378.9893691237696</v>
      </c>
      <c r="F98" s="400">
        <f>'A.일산테크노밸리(859991)_수정'!$P31*KTDB_TripDistribution_2035!W$12 * (1+KTDB_발생량도착량_증가율!$D$8 *5) * (1+KTDB_발생량도착량_증가율!$E$8 *5)</f>
        <v>2.1670864889320551</v>
      </c>
      <c r="G98" s="400">
        <f>'A.일산테크노밸리(859991)_수정'!$P31*KTDB_TripDistribution_2035!X$12 * (1+KTDB_발생량도착량_증가율!$D$8 *5) * (1+KTDB_발생량도착량_증가율!$E$8 *5)</f>
        <v>8.186771180410009</v>
      </c>
      <c r="H98" s="400">
        <f>'A.일산테크노밸리(859991)_수정'!$P31*KTDB_TripDistribution_2035!Y$12 * (1+KTDB_발생량도착량_증가율!$D$8 *5) * (1+KTDB_발생량도착량_증가율!$E$8 *5)</f>
        <v>28748.569362172755</v>
      </c>
      <c r="J98" s="230">
        <f t="shared" si="57"/>
        <v>28748.569362172755</v>
      </c>
      <c r="K98" s="206"/>
      <c r="L98" s="209" t="s">
        <v>15</v>
      </c>
      <c r="M98" s="213">
        <f>INDEX($A$94:$H$106,MATCH($L98,$B$94:$B$106,0),MATCH($M$93,$A$94:$H$94,0))*고양시_Modal_split!C$3 * 0.01</f>
        <v>9.2999794310356343</v>
      </c>
      <c r="N98" s="213">
        <f>INDEX($A$94:$H$106,MATCH($L98,$B$94:$B$106,0),MATCH($M$93,$A$94:$H$94,0))*고양시_Modal_split!D$3 * 0.01</f>
        <v>1562.0644022914496</v>
      </c>
      <c r="O98" s="213">
        <f>INDEX($A$94:$H$106,MATCH($L98,$B$94:$B$106,0),MATCH($M$93,$A$94:$H$94,0))*고양시_Modal_split!E$3 * 0.01</f>
        <v>188.98886772354555</v>
      </c>
      <c r="P98" s="213">
        <f>INDEX($A$94:$H$106,MATCH($L98,$B$94:$B$106,0),MATCH($M$93,$A$94:$H$94,0))*고양시_Modal_split!F$3 * 0.01</f>
        <v>304.57432636641704</v>
      </c>
      <c r="Q98" s="213">
        <f>INDEX($A$94:$H$106,MATCH($L98,$B$94:$B$106,0),MATCH($M$93,$A$94:$H$94,0))*고양시_Modal_split!G$3 * 0.01</f>
        <v>30.557075273402795</v>
      </c>
      <c r="R98" s="213">
        <f>INDEX($A$94:$H$106,MATCH($L98,$B$94:$B$106,0),MATCH($M$93,$A$94:$H$94,0))*고양시_Modal_split!H$3 * 0.01</f>
        <v>0.33214212253698688</v>
      </c>
      <c r="S98" s="213">
        <f>INDEX($A$94:$H$106,MATCH($L98,$B$94:$B$106,0),MATCH($M$93,$A$94:$H$94,0))*고양시_Modal_split!I$3 * 0.01</f>
        <v>92.335510065282364</v>
      </c>
      <c r="T98" s="213">
        <f>INDEX($A$94:$H$106,MATCH($L98,$B$94:$B$106,0),MATCH($M$93,$A$94:$H$94,0))*고양시_Modal_split!J$3 * 0.01</f>
        <v>1011.0406210025883</v>
      </c>
      <c r="U98" s="213">
        <f>INDEX($A$94:$H$106,MATCH($L98,$B$94:$B$106,0),MATCH($M$93,$A$94:$H$94,0))*고양시_Modal_split!K$3 * 0.01</f>
        <v>4.9821318380548041</v>
      </c>
      <c r="V98" s="213">
        <f>INDEX($A$94:$H$106,MATCH($L98,$B$94:$B$106,0),MATCH($M$93,$A$94:$H$94,0))*고양시_Modal_split!L$3 * 0.01</f>
        <v>100.30692100617006</v>
      </c>
      <c r="W98" s="213">
        <f>INDEX($A$94:$H$106,MATCH($L98,$B$94:$B$106,0),MATCH($M$93,$A$94:$H$94,0))*고양시_Modal_split!M$3 * 0.01</f>
        <v>7.6392688183506987</v>
      </c>
      <c r="X98" s="213">
        <f>INDEX($A$94:$H$106,MATCH($L98,$B$94:$B$106,0),MATCH($M$93,$A$94:$H$94,0))*고양시_Modal_split!N$3 * 0.01</f>
        <v>3.3214212253698698</v>
      </c>
      <c r="Y98" s="213">
        <f>INDEX($A$94:$H$106,MATCH($L98,$B$94:$B$106,0),MATCH($M$93,$A$94:$H$94,0))*고양시_Modal_split!O$3 * 0.01</f>
        <v>5.978558205665764</v>
      </c>
      <c r="Z98" s="213">
        <f>INDEX($A$94:$H$106,MATCH($L98,$B$94:$B$106,0),MATCH($M$93,$A$94:$H$94,0))*고양시_Modal_split!P$3 * 0.01</f>
        <v>3321.4212253698697</v>
      </c>
      <c r="AA98" s="213">
        <f>INDEX($A$94:$H$106,MATCH($L98,$B$94:$B$106,0),MATCH($AA$93,$A$94:$H$94,0))*고양시_Modal_split!C$4 * 0.01</f>
        <v>7317.107814606974</v>
      </c>
      <c r="AB98" s="213">
        <f>INDEX($A$94:$H$106,MATCH($L98,$B$94:$B$106,0),MATCH($AA$93,$A$94:$H$94,0))*고양시_Modal_split!D$4 * 0.01</f>
        <v>7708.9240346401339</v>
      </c>
      <c r="AC98" s="213">
        <f>INDEX($A$94:$H$106,MATCH($L98,$B$94:$B$106,0),MATCH($AA$93,$A$94:$H$94,0))*고양시_Modal_split!E$4 * 0.01</f>
        <v>1867.7374415077593</v>
      </c>
      <c r="AD98" s="213">
        <f>INDEX($A$94:$H$106,MATCH($L98,$B$94:$B$106,0),MATCH($AA$93,$A$94:$H$94,0))*고양시_Modal_split!F$4 * 0.01</f>
        <v>228.35914664509281</v>
      </c>
      <c r="AE98" s="213">
        <f>INDEX($A$94:$H$106,MATCH($L98,$B$94:$B$106,0),MATCH($AA$93,$A$94:$H$94,0))*고양시_Modal_split!G$4 * 0.01</f>
        <v>2814.8269549621436</v>
      </c>
      <c r="AF98" s="213">
        <f>INDEX($A$94:$H$106,MATCH($L98,$B$94:$B$106,0),MATCH($AA$93,$A$94:$H$94,0))*고양시_Modal_split!H$4 * 0.01</f>
        <v>0</v>
      </c>
      <c r="AG98" s="213">
        <f>INDEX($A$94:$H$106,MATCH($L98,$B$94:$B$106,0),MATCH($AA$93,$A$94:$H$94,0))*고양시_Modal_split!I$4 * 0.01</f>
        <v>836.51561086833988</v>
      </c>
      <c r="AH98" s="213">
        <f>INDEX($A$94:$H$106,MATCH($L98,$B$94:$B$106,0),MATCH($AA$93,$A$94:$H$94,0))*고양시_Modal_split!J$4 * 0.01</f>
        <v>1132.1806112614602</v>
      </c>
      <c r="AI98" s="213">
        <f>INDEX($A$94:$H$106,MATCH($L98,$B$94:$B$106,0),MATCH($AA$93,$A$94:$H$94,0))*고양시_Modal_split!K$4 * 0.01</f>
        <v>0</v>
      </c>
      <c r="AJ98" s="213">
        <f>INDEX($A$94:$H$106,MATCH($L98,$B$94:$B$106,0),MATCH($AA$93,$A$94:$H$94,0))*고양시_Modal_split!L$4 * 0.01</f>
        <v>1110.5465868424515</v>
      </c>
      <c r="AK98" s="213">
        <f>INDEX($A$94:$H$106,MATCH($L98,$B$94:$B$106,0),MATCH($AA$93,$A$94:$H$94,0))*고양시_Modal_split!M$4 * 0.01</f>
        <v>161.05329289706549</v>
      </c>
      <c r="AL98" s="213">
        <f>INDEX($A$94:$H$106,MATCH($L98,$B$94:$B$106,0),MATCH($AA$93,$A$94:$H$94,0))*고양시_Modal_split!N$4 * 0.01</f>
        <v>600.94512275024431</v>
      </c>
      <c r="AM98" s="213">
        <f>INDEX($A$94:$H$106,MATCH($L98,$B$94:$B$106,0),MATCH($AA$93,$A$94:$H$94,0))*고양시_Modal_split!O$4 * 0.01</f>
        <v>259.60829302810555</v>
      </c>
      <c r="AN98" s="213">
        <f>INDEX($A$94:$H$106,MATCH($L98,$B$94:$B$106,0),MATCH($AA$93,$A$94:$H$94,0))*고양시_Modal_split!P$4 * 0.01</f>
        <v>24037.804910009771</v>
      </c>
      <c r="AO98" s="213">
        <f>INDEX($A$94:$H$106,MATCH($L98,$B$94:$B$106,0),MATCH($AO$93,$A$94:$H$94,0))*고양시_Modal_split!C$5 * 0.01</f>
        <v>0.82739362147426176</v>
      </c>
      <c r="AP98" s="213">
        <f>INDEX($A$94:$H$106,MATCH($L98,$B$94:$B$106,0),MATCH($AO$93,$A$94:$H$94,0))*고양시_Modal_split!D$5 * 0.01</f>
        <v>1010.5234096938984</v>
      </c>
      <c r="AQ98" s="213">
        <f>INDEX($A$94:$H$106,MATCH($L98,$B$94:$B$106,0),MATCH($AO$93,$A$94:$H$94,0))*고양시_Modal_split!E$5 * 0.01</f>
        <v>135.8304528586913</v>
      </c>
      <c r="AR98" s="213">
        <f>INDEX($A$94:$H$106,MATCH($L98,$B$94:$B$106,0),MATCH($AO$93,$A$94:$H$94,0))*고양시_Modal_split!F$5 * 0.01</f>
        <v>28.958776751599164</v>
      </c>
      <c r="AS98" s="213">
        <f>INDEX($A$94:$H$106,MATCH($L98,$B$94:$B$106,0),MATCH($AO$93,$A$94:$H$94,0))*고양시_Modal_split!G$5 * 0.01</f>
        <v>8.9634308993045035</v>
      </c>
      <c r="AT98" s="213">
        <f>INDEX($A$94:$H$106,MATCH($L98,$B$94:$B$106,0),MATCH($AO$93,$A$94:$H$94,0))*고양시_Modal_split!H$5 * 0.01</f>
        <v>0.96529255838663863</v>
      </c>
      <c r="AU98" s="213">
        <f>INDEX($A$94:$H$106,MATCH($L98,$B$94:$B$106,0),MATCH($AO$93,$A$94:$H$94,0))*고양시_Modal_split!I$5 * 0.01</f>
        <v>38.198005524728423</v>
      </c>
      <c r="AV98" s="213">
        <f>INDEX($A$94:$H$106,MATCH($L98,$B$94:$B$106,0),MATCH($AO$93,$A$94:$H$94,0))*고양시_Modal_split!J$5 * 0.01</f>
        <v>86.462633444060359</v>
      </c>
      <c r="AW98" s="213">
        <f>INDEX($A$94:$H$106,MATCH($L98,$B$94:$B$106,0),MATCH($AO$93,$A$94:$H$94,0))*고양시_Modal_split!K$5 * 0.01</f>
        <v>0.2757978738247539</v>
      </c>
      <c r="AX98" s="213">
        <f>INDEX($A$94:$H$106,MATCH($L98,$B$94:$B$106,0),MATCH($AO$93,$A$94:$H$94,0))*고양시_Modal_split!L$5 * 0.01</f>
        <v>35.164228912656121</v>
      </c>
      <c r="AY98" s="213">
        <f>INDEX($A$94:$H$106,MATCH($L98,$B$94:$B$106,0),MATCH($AO$93,$A$94:$H$94,0))*고양시_Modal_split!M$5 * 0.01</f>
        <v>9.2392287731292573</v>
      </c>
      <c r="AZ98" s="213">
        <f>INDEX($A$94:$H$106,MATCH($L98,$B$94:$B$106,0),MATCH($AO$93,$A$94:$H$94,0))*고양시_Modal_split!N$5 * 0.01</f>
        <v>2.3442819275104081</v>
      </c>
      <c r="BA98" s="213">
        <f>INDEX($A$94:$H$106,MATCH($L98,$B$94:$B$106,0),MATCH($AO$93,$A$94:$H$94,0))*고양시_Modal_split!O$5 * 0.01</f>
        <v>21.236436284506052</v>
      </c>
      <c r="BB98" s="213">
        <f>INDEX($A$94:$H$106,MATCH($L98,$B$94:$B$106,0),MATCH($AO$93,$A$94:$H$94,0))*고양시_Modal_split!P$5 * 0.01</f>
        <v>1378.9893691237694</v>
      </c>
      <c r="BC98" s="213">
        <f>INDEX($A$94:$H$106,MATCH($L98,$B$94:$B$106,0),MATCH($BC$93,$A$94:$H$94,0))*고양시_Modal_split!C$6 * 0.01</f>
        <v>0</v>
      </c>
      <c r="BD98" s="207">
        <f>INDEX($A$94:$H$106,MATCH($L98,$B$94:$B$106,0),MATCH($BC$93,$A$94:$H$94,0))*고양시_Modal_split!D$6 * 0.01</f>
        <v>1.7945643214846345</v>
      </c>
      <c r="BE98" s="207">
        <f>INDEX($A$94:$H$106,MATCH($L98,$B$94:$B$106,0),MATCH($BC$93,$A$94:$H$94,0))*고양시_Modal_split!E$6 * 0.01</f>
        <v>9.318471902407836E-3</v>
      </c>
      <c r="BF98" s="207">
        <f>INDEX($A$94:$H$106,MATCH($L98,$B$94:$B$106,0),MATCH($BC$93,$A$94:$H$94,0))*고양시_Modal_split!F$6 * 0.01</f>
        <v>2.6438455164971071E-2</v>
      </c>
      <c r="BG98" s="207">
        <f>INDEX($A$94:$H$106,MATCH($L98,$B$94:$B$106,0),MATCH($BC$93,$A$94:$H$94,0))*고양시_Modal_split!G$6 * 0.01</f>
        <v>0</v>
      </c>
      <c r="BH98" s="207">
        <f>INDEX($A$94:$H$106,MATCH($L98,$B$94:$B$106,0),MATCH($BC$93,$A$94:$H$94,0))*고양시_Modal_split!H$6 * 0.01</f>
        <v>0.11507229256229215</v>
      </c>
      <c r="BI98" s="207">
        <f>INDEX($A$94:$H$106,MATCH($L98,$B$94:$B$106,0),MATCH($BC$93,$A$94:$H$94,0))*고양시_Modal_split!I$6 * 0.01</f>
        <v>7.6714861708194748E-2</v>
      </c>
      <c r="BJ98" s="207">
        <f>INDEX($A$94:$H$106,MATCH($L98,$B$94:$B$106,0),MATCH($BC$93,$A$94:$H$94,0))*고양시_Modal_split!J$6 * 0.01</f>
        <v>0.10705407255324351</v>
      </c>
      <c r="BK98" s="207">
        <f>INDEX($A$94:$H$106,MATCH($L98,$B$94:$B$106,0),MATCH($BC$93,$A$94:$H$94,0))*고양시_Modal_split!K$6 * 0.01</f>
        <v>0</v>
      </c>
      <c r="BL98" s="207">
        <f>INDEX($A$94:$H$106,MATCH($L98,$B$94:$B$106,0),MATCH($BC$93,$A$94:$H$94,0))*고양시_Modal_split!L$6 * 0.01</f>
        <v>1.6469857315883619E-2</v>
      </c>
      <c r="BM98" s="207">
        <f>INDEX($A$94:$H$106,MATCH($L98,$B$94:$B$106,0),MATCH($BC$93,$A$94:$H$94,0))*고양시_Modal_split!M$6 * 0.01</f>
        <v>1.9720487049281702E-2</v>
      </c>
      <c r="BN98" s="207">
        <f>INDEX($A$94:$H$106,MATCH($L98,$B$94:$B$106,0),MATCH($BC$93,$A$94:$H$94,0))*고양시_Modal_split!N$6 * 0.01</f>
        <v>0</v>
      </c>
      <c r="BO98" s="207">
        <f>INDEX($A$94:$H$106,MATCH($L98,$B$94:$B$106,0),MATCH($BC$93,$A$94:$H$94,0))*고양시_Modal_split!O$6 * 0.01</f>
        <v>1.7336691911456442E-3</v>
      </c>
      <c r="BP98" s="214">
        <f>INDEX($A$94:$H$106,MATCH($L98,$B$94:$B$106,0),MATCH($BC$93,$A$94:$H$94,0))*고양시_Modal_split!P$6 * 0.01</f>
        <v>2.1670864889320551</v>
      </c>
      <c r="BQ98" s="213">
        <f>INDEX($A$94:$H$106,MATCH($L98,$B$94:$B$106,0),MATCH($BQ$93,$A$94:$H$94,0))*고양시_Modal_split!C$7 * 0.01</f>
        <v>0</v>
      </c>
      <c r="BR98" s="213">
        <f>INDEX($A$94:$H$106,MATCH($L98,$B$94:$B$106,0),MATCH($BQ$93,$A$94:$H$94,0))*고양시_Modal_split!D$7 * 0.01</f>
        <v>5.0168533793552532</v>
      </c>
      <c r="BS98" s="213">
        <f>INDEX($A$94:$H$106,MATCH($L98,$B$94:$B$106,0),MATCH($BQ$93,$A$94:$H$94,0))*고양시_Modal_split!E$7 * 0.01</f>
        <v>0.24478445829425927</v>
      </c>
      <c r="BT98" s="213">
        <f>INDEX($A$94:$H$106,MATCH($L98,$B$94:$B$106,0),MATCH($BQ$93,$A$94:$H$94,0))*고양시_Modal_split!F$7 * 0.01</f>
        <v>8.1867711804100088E-2</v>
      </c>
      <c r="BU98" s="213">
        <f>INDEX($A$94:$H$106,MATCH($L98,$B$94:$B$106,0),MATCH($BQ$93,$A$94:$H$94,0))*고양시_Modal_split!G$7 * 0.01</f>
        <v>3.4384438957722037E-2</v>
      </c>
      <c r="BV98" s="213">
        <f>INDEX($A$94:$H$106,MATCH($L98,$B$94:$B$106,0),MATCH($BQ$93,$A$94:$H$94,0))*고양시_Modal_split!H$7 * 0.01</f>
        <v>0.45764050898491954</v>
      </c>
      <c r="BW98" s="213">
        <f>INDEX($A$94:$H$106,MATCH($L98,$B$94:$B$106,0),MATCH($BQ$93,$A$94:$H$94,0))*고양시_Modal_split!I$7 * 0.01</f>
        <v>1.5284701793825488</v>
      </c>
      <c r="BX98" s="213">
        <f>INDEX($A$94:$H$106,MATCH($L98,$B$94:$B$106,0),MATCH($BQ$93,$A$94:$H$94,0))*고양시_Modal_split!J$7 * 0.01</f>
        <v>1.6373542360820018E-3</v>
      </c>
      <c r="BY98" s="213">
        <f>INDEX($A$94:$H$106,MATCH($L98,$B$94:$B$106,0),MATCH($BQ$93,$A$94:$H$94,0))*고양시_Modal_split!K$7 * 0.01</f>
        <v>0.6303813808915707</v>
      </c>
      <c r="BZ98" s="213">
        <f>INDEX($A$94:$H$106,MATCH($L98,$B$94:$B$106,0),MATCH($BQ$93,$A$94:$H$94,0))*고양시_Modal_split!L$7 * 0.01</f>
        <v>5.7307398262870062E-3</v>
      </c>
      <c r="CA98" s="213">
        <f>INDEX($A$94:$H$106,MATCH($L98,$B$94:$B$106,0),MATCH($BQ$93,$A$94:$H$94,0))*고양시_Modal_split!M$7 * 0.01</f>
        <v>0.15309262107366717</v>
      </c>
      <c r="CB98" s="213">
        <f>INDEX($A$94:$H$106,MATCH($L98,$B$94:$B$106,0),MATCH($BQ$93,$A$94:$H$94,0))*고양시_Modal_split!N$7 * 0.01</f>
        <v>3.1928407603599031E-2</v>
      </c>
      <c r="CC98" s="213">
        <f>INDEX($A$94:$H$106,MATCH($L98,$B$94:$B$106,0),MATCH($BQ$93,$A$94:$H$94,0))*고양시_Modal_split!O$7 * 0.01</f>
        <v>0</v>
      </c>
      <c r="CD98" s="213">
        <f>INDEX($A$94:$H$106,MATCH($L98,$B$94:$B$106,0),MATCH($BQ$93,$A$94:$H$94,0))*고양시_Modal_split!P$7 * 0.01</f>
        <v>8.186771180410009</v>
      </c>
      <c r="CE98" s="218">
        <f t="shared" si="58"/>
        <v>7327.2351876594839</v>
      </c>
      <c r="CF98" s="208">
        <f t="shared" si="39"/>
        <v>10288.323264326322</v>
      </c>
      <c r="CG98" s="208">
        <f t="shared" si="40"/>
        <v>2192.810865020193</v>
      </c>
      <c r="CH98" s="208">
        <f t="shared" si="41"/>
        <v>562.00055593007812</v>
      </c>
      <c r="CI98" s="208">
        <f t="shared" si="42"/>
        <v>2854.3818455738087</v>
      </c>
      <c r="CJ98" s="208">
        <f t="shared" si="43"/>
        <v>1.8701474824708373</v>
      </c>
      <c r="CK98" s="208">
        <f t="shared" si="44"/>
        <v>968.65431149944141</v>
      </c>
      <c r="CL98" s="208">
        <f t="shared" si="45"/>
        <v>2229.7925571348983</v>
      </c>
      <c r="CM98" s="208">
        <f t="shared" si="46"/>
        <v>5.8883110927711284</v>
      </c>
      <c r="CN98" s="208">
        <f t="shared" si="47"/>
        <v>1246.03993735842</v>
      </c>
      <c r="CO98" s="208">
        <f t="shared" si="48"/>
        <v>178.1046035966684</v>
      </c>
      <c r="CP98" s="208">
        <f t="shared" si="49"/>
        <v>606.64275431072815</v>
      </c>
      <c r="CQ98" s="208">
        <f t="shared" si="50"/>
        <v>286.82502118746851</v>
      </c>
      <c r="CR98" s="219">
        <f t="shared" si="51"/>
        <v>28748.569362172755</v>
      </c>
      <c r="CS98" s="225">
        <f t="shared" si="59"/>
        <v>0</v>
      </c>
      <c r="CV98" s="265"/>
      <c r="CW98" s="266" t="s">
        <v>15</v>
      </c>
      <c r="CX98" s="267">
        <f>INDEX($M$93:$Z$106,MATCH($CW98,$L$93:$L$106,0),MATCH(CX$94,$M$94:$Z$94,0))/INDEX(고양시_재차인원!$D$4:$H$35,MATCH("고양시",고양시_재차인원!$B$4:$B$35,0),MATCH('A.일산테크노밸리(859991)_수정'!$CX$93,고양시_재차인원!$D$4:$H$4,0))</f>
        <v>1394.7003591887942</v>
      </c>
      <c r="CY98" s="267">
        <f>INDEX($M$93:$Z$106,MATCH($CW98,$L$93:$L$106,0),MATCH(CY$94,$M$94:$Z$94,0))/INDEX(고양시_재차인원!$K$4:$O$20,MATCH("경기도",고양시_재차인원!$K$4:$K$20,0),MATCH('A.일산테크노밸리(859991)_수정'!CY$94,고양시_재차인원!$K$4:$O$4,0))</f>
        <v>1.1536718393087423E-2</v>
      </c>
      <c r="CZ98" s="267">
        <f>INDEX($M$93:$Z$106,MATCH($CW98,$L$93:$L$106,0),MATCH(CZ$94,$M$94:$Z$94,0))/INDEX(고양시_재차인원!$K$4:$O$20,MATCH("경기도",고양시_재차인원!$K$4:$K$20,0),MATCH('A.일산테크노밸리(859991)_수정'!CZ$94,고양시_재차인원!$K$4:$O$4,0))</f>
        <v>3.2072077132783039</v>
      </c>
      <c r="DA98" s="267">
        <f>INDEX($M$93:$Z$106,MATCH($CW98,$L$93:$L$106,0),MATCH(DA$94,$M$94:$Z$94,0))/INDEX(고양시_재차인원!$K$4:$O$20,MATCH("경기도",고양시_재차인원!$K$4:$K$20,0),MATCH('A.일산테크노밸리(859991)_수정'!DA$94,고양시_재차인원!$K$4:$O$4,0))</f>
        <v>66.871280670780038</v>
      </c>
      <c r="DB98" s="268">
        <f>INDEX($AA$93:$AN$106,MATCH($CW98,$L$93:$L$106,0),MATCH(DB$94,$AA$94:$AN$94,0))/INDEX(고양시_재차인원!$D$4:$H$35,MATCH("고양시",고양시_재차인원!$B$4:$B$35,0),MATCH('A.일산테크노밸리(859991)_수정'!$DB$93,고양시_재차인원!$D$4:$H$4,0))</f>
        <v>5467.3220103830736</v>
      </c>
      <c r="DC98" s="267">
        <f>INDEX($AA$93:$AN$106,MATCH($CW98,$L$93:$L$106,0),MATCH(DC$94,$AA$94:$AN$94,0))/INDEX(고양시_재차인원!$K$4:$O$20,MATCH("경기도",고양시_재차인원!$K$4:$K$20,0),MATCH('A.일산테크노밸리(859991)_수정'!DC$94,고양시_재차인원!$K$4:$O$4,0))</f>
        <v>0</v>
      </c>
      <c r="DD98" s="267">
        <f>INDEX($AA$93:$AN$106,MATCH($CW98,$L$93:$L$106,0),MATCH(DD$94,$AA$94:$AN$94,0))/INDEX(고양시_재차인원!$K$4:$O$20,MATCH("경기도",고양시_재차인원!$K$4:$K$20,0),MATCH('A.일산테크노밸리(859991)_수정'!DD$94,고양시_재차인원!$K$4:$O$4,0))</f>
        <v>29.055769741866616</v>
      </c>
      <c r="DE98" s="267">
        <f>INDEX($AA$93:$AN$106,MATCH($CW98,$L$93:$L$106,0),MATCH(DE$94,$AA$94:$AN$94,0))/INDEX(고양시_재차인원!$K$4:$O$20,MATCH("경기도",고양시_재차인원!$K$4:$K$20,0),MATCH('A.일산테크노밸리(859991)_수정'!DE$94,고양시_재차인원!$K$4:$O$4,0))</f>
        <v>740.36439122830097</v>
      </c>
      <c r="DF98" s="268">
        <f>INDEX($AO$93:$BB$106,MATCH($CW98,$L$93:$L$106,0),MATCH(DF$94,$AO$94:$BB$94,0))/INDEX(고양시_재차인원!$D$4:$H$35,MATCH("고양시",고양시_재차인원!$B$4:$B$35,0),MATCH('A.일산테크노밸리(859991)_수정'!$DF$93,고양시_재차인원!$D$4:$H$4,0))</f>
        <v>777.32569976453726</v>
      </c>
      <c r="DG98" s="267">
        <f>INDEX($AO$93:$BB$106,MATCH($CW98,$L$93:$L$106,0),MATCH(DG$94,$AO$94:$BB$94,0))/INDEX(고양시_재차인원!$K$4:$O$20,MATCH("경기도",고양시_재차인원!$K$4:$K$20,0),MATCH('A.일산테크노밸리(859991)_수정'!DG$94,고양시_재차인원!$K$4:$O$4,0))</f>
        <v>3.3528744646982932E-2</v>
      </c>
      <c r="DH98" s="267">
        <f>INDEX($AO$93:$BB$106,MATCH($CW98,$L$93:$L$106,0),MATCH(DH$94,$AO$94:$BB$94,0))/INDEX(고양시_재차인원!$K$4:$O$20,MATCH("경기도",고양시_재차인원!$K$4:$K$20,0),MATCH('A.일산테크노밸리(859991)_수정'!DH$94,고양시_재차인원!$K$4:$O$4,0))</f>
        <v>1.3267803238877536</v>
      </c>
      <c r="DI98" s="267">
        <f>INDEX($AO$93:$BB$106,MATCH($CW98,$L$93:$L$106,0),MATCH(DI$94,$AO$94:$BB$94,0))/INDEX(고양시_재차인원!$K$4:$O$20,MATCH("경기도",고양시_재차인원!$K$4:$K$20,0),MATCH('A.일산테크노밸리(859991)_수정'!DI$94,고양시_재차인원!$K$4:$O$4,0))</f>
        <v>23.442819275104082</v>
      </c>
      <c r="DJ98" s="268">
        <f>INDEX($BC$93:$BP$106,MATCH($CW98,$L$93:$L$106,0),MATCH(DJ$94,$BC$94:$BP$94,0))/INDEX(고양시_재차인원!$D$4:$H$35,MATCH("고양시",고양시_재차인원!$B$4:$B$35,0),MATCH('A.일산테크노밸리(859991)_수정'!$DJ$93,고양시_재차인원!$D$4:$H$4,0))</f>
        <v>1.319532589326937</v>
      </c>
      <c r="DK98" s="267">
        <f>INDEX($BC$93:$BP$106,MATCH($CW98,$L$93:$L$106,0),MATCH(DK$94,$BC$94:$BP$94,0))/INDEX(고양시_재차인원!$K$4:$O$20,MATCH("경기도",고양시_재차인원!$K$4:$K$20,0),MATCH('A.일산테크노밸리(859991)_수정'!DK$94,고양시_재차인원!$K$4:$O$4,0))</f>
        <v>3.9969535450605125E-3</v>
      </c>
      <c r="DL98" s="267">
        <f>INDEX($BC$93:$BP$106,MATCH($CW98,$L$93:$L$106,0),MATCH(DL$94,$BC$94:$BP$94,0))/INDEX(고양시_재차인원!$K$4:$O$20,MATCH("경기도",고양시_재차인원!$K$4:$K$20,0),MATCH('A.일산테크노밸리(859991)_수정'!DL$94,고양시_재차인원!$K$4:$O$4,0))</f>
        <v>2.6646356967070075E-3</v>
      </c>
      <c r="DM98" s="267">
        <f>INDEX($BC$93:$BP$106,MATCH($CW98,$L$93:$L$106,0),MATCH(DM$94,$BC$94:$BP$94,0))/INDEX(고양시_재차인원!$K$4:$O$20,MATCH("경기도",고양시_재차인원!$K$4:$K$20,0),MATCH('A.일산테크노밸리(859991)_수정'!DM$94,고양시_재차인원!$K$4:$O$4,0))</f>
        <v>1.0979904877255746E-2</v>
      </c>
      <c r="DN98" s="268">
        <f>INDEX($BQ$93:$CD$106,MATCH($CW98,$L$93:$L$106,0),MATCH(DN$94,$BQ$94:$CD$94,0))/INDEX(고양시_재차인원!$D$4:$H$35,MATCH("고양시",고양시_재차인원!$B$4:$B$35,0),MATCH('A.일산테크노밸리(859991)_수정'!$DN$93,고양시_재차인원!$D$4:$H$4,0))</f>
        <v>3.9816296661549631</v>
      </c>
      <c r="DO98" s="267">
        <f>INDEX($BQ$93:$CD$106,MATCH($CW98,$L$93:$L$106,0),MATCH(DO$94,$BQ$94:$CD$94,0))/INDEX(고양시_재차인원!$K$4:$O$20,MATCH("경기도",고양시_재차인원!$K$4:$K$20,0),MATCH('A.일산테크노밸리(859991)_수정'!DO$94,고양시_재차인원!$K$4:$O$4,0))</f>
        <v>1.5895814831014921E-2</v>
      </c>
      <c r="DP98" s="267">
        <f>INDEX($BQ$93:$CD$106,MATCH($CW98,$L$93:$L$106,0),MATCH(DP$94,$BQ$94:$CD$94,0))/INDEX(고양시_재차인원!$K$4:$O$20,MATCH("경기도",고양시_재차인원!$K$4:$K$20,0),MATCH('A.일산테크노밸리(859991)_수정'!DP$94,고양시_재차인원!$K$4:$O$4,0))</f>
        <v>5.3090315365840531E-2</v>
      </c>
      <c r="DQ98" s="267">
        <f>INDEX($BQ$93:$CD$106,MATCH($CW98,$L$93:$L$106,0),MATCH(DQ$94,$BQ$94:$CD$94,0))/INDEX(고양시_재차인원!$K$4:$O$20,MATCH("경기도",고양시_재차인원!$K$4:$K$20,0),MATCH('A.일산테크노밸리(859991)_수정'!DQ$94,고양시_재차인원!$K$4:$O$4,0))</f>
        <v>3.8204932175246709E-3</v>
      </c>
      <c r="DR98" s="269">
        <f t="shared" si="60"/>
        <v>7644.6492315918867</v>
      </c>
      <c r="DS98" s="270">
        <f t="shared" si="52"/>
        <v>6.495823141614579E-2</v>
      </c>
      <c r="DT98" s="270">
        <f t="shared" si="53"/>
        <v>33.64551273009522</v>
      </c>
      <c r="DU98" s="270">
        <f t="shared" si="54"/>
        <v>830.6932915722798</v>
      </c>
      <c r="DW98" s="278"/>
      <c r="DX98" s="278" t="s">
        <v>594</v>
      </c>
      <c r="DY98" s="281">
        <f t="shared" si="61"/>
        <v>8475.3425231641668</v>
      </c>
      <c r="DZ98" s="281">
        <f t="shared" si="62"/>
        <v>33.710470961511369</v>
      </c>
      <c r="EC98" s="412" t="s">
        <v>14</v>
      </c>
      <c r="ED98" s="412" t="s">
        <v>79</v>
      </c>
      <c r="EE98" s="412">
        <v>7192.9411</v>
      </c>
      <c r="EF98" s="412">
        <v>0.56870722672698226</v>
      </c>
      <c r="EG98" s="413">
        <v>859005</v>
      </c>
      <c r="EH98" s="414">
        <f t="shared" si="55"/>
        <v>165.95070833876508</v>
      </c>
      <c r="EI98" s="415">
        <f t="shared" si="56"/>
        <v>0.66006494949393835</v>
      </c>
      <c r="EJ98" s="402">
        <v>0</v>
      </c>
      <c r="EM98" s="278" t="s">
        <v>14</v>
      </c>
      <c r="EN98" s="278" t="s">
        <v>79</v>
      </c>
      <c r="EO98" s="278">
        <v>7192.9411</v>
      </c>
      <c r="EP98" s="278">
        <v>0.56870722672698226</v>
      </c>
      <c r="EQ98" s="289">
        <v>859005</v>
      </c>
      <c r="ER98" s="290">
        <f t="shared" si="37"/>
        <v>165.95070833876508</v>
      </c>
      <c r="ES98" s="291">
        <f t="shared" si="38"/>
        <v>0.66006494949393835</v>
      </c>
      <c r="ET98" s="402">
        <v>0</v>
      </c>
      <c r="EV98" s="34"/>
      <c r="EW98" s="34"/>
      <c r="EX98" s="34"/>
      <c r="EY98" s="34"/>
      <c r="EZ98" s="378"/>
      <c r="FA98" s="401"/>
      <c r="FB98" s="402"/>
      <c r="FC98" s="402"/>
    </row>
    <row r="99" spans="1:159" ht="17" customHeight="1">
      <c r="A99" s="205"/>
      <c r="B99" s="205" t="s">
        <v>16</v>
      </c>
      <c r="C99" s="400">
        <f>'A.일산테크노밸리(859991)_수정'!$P32*KTDB_TripDistribution_2035!T$12 * (1+KTDB_발생량도착량_증가율!$D$8 *5) * (1+KTDB_발생량도착량_증가율!$E$8 *5)</f>
        <v>360.00097674915952</v>
      </c>
      <c r="D99" s="400">
        <f>'A.일산테크노밸리(859991)_수정'!$P32*KTDB_TripDistribution_2035!U$12 * (1+KTDB_발생량도착량_증가율!$D$8 *5) * (1+KTDB_발생량도착량_증가율!$E$8 *5)</f>
        <v>2605.4007183462859</v>
      </c>
      <c r="E99" s="400">
        <f>'A.일산테크노밸리(859991)_수정'!$P32*KTDB_TripDistribution_2035!V$12 * (1+KTDB_발생량도착량_증가율!$D$8 *5) * (1+KTDB_발생량도착량_증가율!$E$8 *5)</f>
        <v>149.46539030320722</v>
      </c>
      <c r="F99" s="400">
        <f>'A.일산테크노밸리(859991)_수정'!$P32*KTDB_TripDistribution_2035!W$12 * (1+KTDB_발생량도착량_증가율!$D$8 *5) * (1+KTDB_발생량도착량_증가율!$E$8 *5)</f>
        <v>0.23488536977979038</v>
      </c>
      <c r="G99" s="400">
        <f>'A.일산테크노밸리(859991)_수정'!$P32*KTDB_TripDistribution_2035!X$12 * (1+KTDB_발생량도착량_증가율!$D$8 *5) * (1+KTDB_발생량도착량_증가율!$E$8 *5)</f>
        <v>0.88734473027921101</v>
      </c>
      <c r="H99" s="400">
        <f>'A.일산테크노밸리(859991)_수정'!$P32*KTDB_TripDistribution_2035!Y$12 * (1+KTDB_발생량도착량_증가율!$D$8 *5) * (1+KTDB_발생량도착량_증가율!$E$8 *5)</f>
        <v>3115.9893154987121</v>
      </c>
      <c r="J99" s="230">
        <f t="shared" si="57"/>
        <v>3115.9893154987121</v>
      </c>
      <c r="K99" s="206"/>
      <c r="L99" s="209" t="s">
        <v>16</v>
      </c>
      <c r="M99" s="213">
        <f>INDEX($A$94:$H$106,MATCH($L99,$B$94:$B$106,0),MATCH($M$93,$A$94:$H$94,0))*고양시_Modal_split!C$3 * 0.01</f>
        <v>1.0080027348976466</v>
      </c>
      <c r="N99" s="213">
        <f>INDEX($A$94:$H$106,MATCH($L99,$B$94:$B$106,0),MATCH($M$93,$A$94:$H$94,0))*고양시_Modal_split!D$3 * 0.01</f>
        <v>169.30845936512972</v>
      </c>
      <c r="O99" s="213">
        <f>INDEX($A$94:$H$106,MATCH($L99,$B$94:$B$106,0),MATCH($M$93,$A$94:$H$94,0))*고양시_Modal_split!E$3 * 0.01</f>
        <v>20.484055577027174</v>
      </c>
      <c r="P99" s="213">
        <f>INDEX($A$94:$H$106,MATCH($L99,$B$94:$B$106,0),MATCH($M$93,$A$94:$H$94,0))*고양시_Modal_split!F$3 * 0.01</f>
        <v>33.012089567897931</v>
      </c>
      <c r="Q99" s="213">
        <f>INDEX($A$94:$H$106,MATCH($L99,$B$94:$B$106,0),MATCH($M$93,$A$94:$H$94,0))*고양시_Modal_split!G$3 * 0.01</f>
        <v>3.3120089860922675</v>
      </c>
      <c r="R99" s="213">
        <f>INDEX($A$94:$H$106,MATCH($L99,$B$94:$B$106,0),MATCH($M$93,$A$94:$H$94,0))*고양시_Modal_split!H$3 * 0.01</f>
        <v>3.6000097674915951E-2</v>
      </c>
      <c r="S99" s="213">
        <f>INDEX($A$94:$H$106,MATCH($L99,$B$94:$B$106,0),MATCH($M$93,$A$94:$H$94,0))*고양시_Modal_split!I$3 * 0.01</f>
        <v>10.008027153626635</v>
      </c>
      <c r="T99" s="213">
        <f>INDEX($A$94:$H$106,MATCH($L99,$B$94:$B$106,0),MATCH($M$93,$A$94:$H$94,0))*고양시_Modal_split!J$3 * 0.01</f>
        <v>109.58429732244417</v>
      </c>
      <c r="U99" s="213">
        <f>INDEX($A$94:$H$106,MATCH($L99,$B$94:$B$106,0),MATCH($M$93,$A$94:$H$94,0))*고양시_Modal_split!K$3 * 0.01</f>
        <v>0.54000146512373925</v>
      </c>
      <c r="V99" s="213">
        <f>INDEX($A$94:$H$106,MATCH($L99,$B$94:$B$106,0),MATCH($M$93,$A$94:$H$94,0))*고양시_Modal_split!L$3 * 0.01</f>
        <v>10.872029497824617</v>
      </c>
      <c r="W99" s="213">
        <f>INDEX($A$94:$H$106,MATCH($L99,$B$94:$B$106,0),MATCH($M$93,$A$94:$H$94,0))*고양시_Modal_split!M$3 * 0.01</f>
        <v>0.82800224652306686</v>
      </c>
      <c r="X99" s="213">
        <f>INDEX($A$94:$H$106,MATCH($L99,$B$94:$B$106,0),MATCH($M$93,$A$94:$H$94,0))*고양시_Modal_split!N$3 * 0.01</f>
        <v>0.3600009767491596</v>
      </c>
      <c r="Y99" s="213">
        <f>INDEX($A$94:$H$106,MATCH($L99,$B$94:$B$106,0),MATCH($M$93,$A$94:$H$94,0))*고양시_Modal_split!O$3 * 0.01</f>
        <v>0.64800175814848715</v>
      </c>
      <c r="Z99" s="213">
        <f>INDEX($A$94:$H$106,MATCH($L99,$B$94:$B$106,0),MATCH($M$93,$A$94:$H$94,0))*고양시_Modal_split!P$3 * 0.01</f>
        <v>360.00097674915952</v>
      </c>
      <c r="AA99" s="213">
        <f>INDEX($A$94:$H$106,MATCH($L99,$B$94:$B$106,0),MATCH($AA$93,$A$94:$H$94,0))*고양시_Modal_split!C$4 * 0.01</f>
        <v>793.0839786646095</v>
      </c>
      <c r="AB99" s="213">
        <f>INDEX($A$94:$H$106,MATCH($L99,$B$94:$B$106,0),MATCH($AA$93,$A$94:$H$94,0))*고양시_Modal_split!D$4 * 0.01</f>
        <v>835.55201037365396</v>
      </c>
      <c r="AC99" s="213">
        <f>INDEX($A$94:$H$106,MATCH($L99,$B$94:$B$106,0),MATCH($AA$93,$A$94:$H$94,0))*고양시_Modal_split!E$4 * 0.01</f>
        <v>202.43963581550642</v>
      </c>
      <c r="AD99" s="213">
        <f>INDEX($A$94:$H$106,MATCH($L99,$B$94:$B$106,0),MATCH($AA$93,$A$94:$H$94,0))*고양시_Modal_split!F$4 * 0.01</f>
        <v>24.751306824289713</v>
      </c>
      <c r="AE99" s="213">
        <f>INDEX($A$94:$H$106,MATCH($L99,$B$94:$B$106,0),MATCH($AA$93,$A$94:$H$94,0))*고양시_Modal_split!G$4 * 0.01</f>
        <v>305.0924241183501</v>
      </c>
      <c r="AF99" s="213">
        <f>INDEX($A$94:$H$106,MATCH($L99,$B$94:$B$106,0),MATCH($AA$93,$A$94:$H$94,0))*고양시_Modal_split!H$4 * 0.01</f>
        <v>0</v>
      </c>
      <c r="AG99" s="213">
        <f>INDEX($A$94:$H$106,MATCH($L99,$B$94:$B$106,0),MATCH($AA$93,$A$94:$H$94,0))*고양시_Modal_split!I$4 * 0.01</f>
        <v>90.667944998450736</v>
      </c>
      <c r="AH99" s="213">
        <f>INDEX($A$94:$H$106,MATCH($L99,$B$94:$B$106,0),MATCH($AA$93,$A$94:$H$94,0))*고양시_Modal_split!J$4 * 0.01</f>
        <v>122.71437383411006</v>
      </c>
      <c r="AI99" s="213">
        <f>INDEX($A$94:$H$106,MATCH($L99,$B$94:$B$106,0),MATCH($AA$93,$A$94:$H$94,0))*고양시_Modal_split!K$4 * 0.01</f>
        <v>0</v>
      </c>
      <c r="AJ99" s="213">
        <f>INDEX($A$94:$H$106,MATCH($L99,$B$94:$B$106,0),MATCH($AA$93,$A$94:$H$94,0))*고양시_Modal_split!L$4 * 0.01</f>
        <v>120.3695131875984</v>
      </c>
      <c r="AK99" s="213">
        <f>INDEX($A$94:$H$106,MATCH($L99,$B$94:$B$106,0),MATCH($AA$93,$A$94:$H$94,0))*고양시_Modal_split!M$4 * 0.01</f>
        <v>17.456184812920117</v>
      </c>
      <c r="AL99" s="213">
        <f>INDEX($A$94:$H$106,MATCH($L99,$B$94:$B$106,0),MATCH($AA$93,$A$94:$H$94,0))*고양시_Modal_split!N$4 * 0.01</f>
        <v>65.135017958657144</v>
      </c>
      <c r="AM99" s="213">
        <f>INDEX($A$94:$H$106,MATCH($L99,$B$94:$B$106,0),MATCH($AA$93,$A$94:$H$94,0))*고양시_Modal_split!O$4 * 0.01</f>
        <v>28.138327758139891</v>
      </c>
      <c r="AN99" s="213">
        <f>INDEX($A$94:$H$106,MATCH($L99,$B$94:$B$106,0),MATCH($AA$93,$A$94:$H$94,0))*고양시_Modal_split!P$4 * 0.01</f>
        <v>2605.4007183462859</v>
      </c>
      <c r="AO99" s="213">
        <f>INDEX($A$94:$H$106,MATCH($L99,$B$94:$B$106,0),MATCH($AO$93,$A$94:$H$94,0))*고양시_Modal_split!C$5 * 0.01</f>
        <v>8.9679234181924333E-2</v>
      </c>
      <c r="AP99" s="213">
        <f>INDEX($A$94:$H$106,MATCH($L99,$B$94:$B$106,0),MATCH($AO$93,$A$94:$H$94,0))*고양시_Modal_split!D$5 * 0.01</f>
        <v>109.52823801419025</v>
      </c>
      <c r="AQ99" s="213">
        <f>INDEX($A$94:$H$106,MATCH($L99,$B$94:$B$106,0),MATCH($AO$93,$A$94:$H$94,0))*고양시_Modal_split!E$5 * 0.01</f>
        <v>14.722340944865909</v>
      </c>
      <c r="AR99" s="213">
        <f>INDEX($A$94:$H$106,MATCH($L99,$B$94:$B$106,0),MATCH($AO$93,$A$94:$H$94,0))*고양시_Modal_split!F$5 * 0.01</f>
        <v>3.1387731963673513</v>
      </c>
      <c r="AS99" s="213">
        <f>INDEX($A$94:$H$106,MATCH($L99,$B$94:$B$106,0),MATCH($AO$93,$A$94:$H$94,0))*고양시_Modal_split!G$5 * 0.01</f>
        <v>0.97152503697084702</v>
      </c>
      <c r="AT99" s="213">
        <f>INDEX($A$94:$H$106,MATCH($L99,$B$94:$B$106,0),MATCH($AO$93,$A$94:$H$94,0))*고양시_Modal_split!H$5 * 0.01</f>
        <v>0.10462577321224505</v>
      </c>
      <c r="AU99" s="213">
        <f>INDEX($A$94:$H$106,MATCH($L99,$B$94:$B$106,0),MATCH($AO$93,$A$94:$H$94,0))*고양시_Modal_split!I$5 * 0.01</f>
        <v>4.1401913113988398</v>
      </c>
      <c r="AV99" s="213">
        <f>INDEX($A$94:$H$106,MATCH($L99,$B$94:$B$106,0),MATCH($AO$93,$A$94:$H$94,0))*고양시_Modal_split!J$5 * 0.01</f>
        <v>9.3714799720110928</v>
      </c>
      <c r="AW99" s="213">
        <f>INDEX($A$94:$H$106,MATCH($L99,$B$94:$B$106,0),MATCH($AO$93,$A$94:$H$94,0))*고양시_Modal_split!K$5 * 0.01</f>
        <v>2.9893078060641447E-2</v>
      </c>
      <c r="AX99" s="213">
        <f>INDEX($A$94:$H$106,MATCH($L99,$B$94:$B$106,0),MATCH($AO$93,$A$94:$H$94,0))*고양시_Modal_split!L$5 * 0.01</f>
        <v>3.8113674527317833</v>
      </c>
      <c r="AY99" s="213">
        <f>INDEX($A$94:$H$106,MATCH($L99,$B$94:$B$106,0),MATCH($AO$93,$A$94:$H$94,0))*고양시_Modal_split!M$5 * 0.01</f>
        <v>1.0014181150314885</v>
      </c>
      <c r="AZ99" s="213">
        <f>INDEX($A$94:$H$106,MATCH($L99,$B$94:$B$106,0),MATCH($AO$93,$A$94:$H$94,0))*고양시_Modal_split!N$5 * 0.01</f>
        <v>0.25409116351545225</v>
      </c>
      <c r="BA99" s="213">
        <f>INDEX($A$94:$H$106,MATCH($L99,$B$94:$B$106,0),MATCH($AO$93,$A$94:$H$94,0))*고양시_Modal_split!O$5 * 0.01</f>
        <v>2.301767010669391</v>
      </c>
      <c r="BB99" s="213">
        <f>INDEX($A$94:$H$106,MATCH($L99,$B$94:$B$106,0),MATCH($AO$93,$A$94:$H$94,0))*고양시_Modal_split!P$5 * 0.01</f>
        <v>149.46539030320719</v>
      </c>
      <c r="BC99" s="213">
        <f>INDEX($A$94:$H$106,MATCH($L99,$B$94:$B$106,0),MATCH($BC$93,$A$94:$H$94,0))*고양시_Modal_split!C$6 * 0.01</f>
        <v>0</v>
      </c>
      <c r="BD99" s="207">
        <f>INDEX($A$94:$H$106,MATCH($L99,$B$94:$B$106,0),MATCH($BC$93,$A$94:$H$94,0))*고양시_Modal_split!D$6 * 0.01</f>
        <v>0.19450857471464439</v>
      </c>
      <c r="BE99" s="207">
        <f>INDEX($A$94:$H$106,MATCH($L99,$B$94:$B$106,0),MATCH($BC$93,$A$94:$H$94,0))*고양시_Modal_split!E$6 * 0.01</f>
        <v>1.0100070900530985E-3</v>
      </c>
      <c r="BF99" s="207">
        <f>INDEX($A$94:$H$106,MATCH($L99,$B$94:$B$106,0),MATCH($BC$93,$A$94:$H$94,0))*고양시_Modal_split!F$6 * 0.01</f>
        <v>2.8656015113134427E-3</v>
      </c>
      <c r="BG99" s="207">
        <f>INDEX($A$94:$H$106,MATCH($L99,$B$94:$B$106,0),MATCH($BC$93,$A$94:$H$94,0))*고양시_Modal_split!G$6 * 0.01</f>
        <v>0</v>
      </c>
      <c r="BH99" s="207">
        <f>INDEX($A$94:$H$106,MATCH($L99,$B$94:$B$106,0),MATCH($BC$93,$A$94:$H$94,0))*고양시_Modal_split!H$6 * 0.01</f>
        <v>1.247241313530687E-2</v>
      </c>
      <c r="BI99" s="207">
        <f>INDEX($A$94:$H$106,MATCH($L99,$B$94:$B$106,0),MATCH($BC$93,$A$94:$H$94,0))*고양시_Modal_split!I$6 * 0.01</f>
        <v>8.3149420902045804E-3</v>
      </c>
      <c r="BJ99" s="207">
        <f>INDEX($A$94:$H$106,MATCH($L99,$B$94:$B$106,0),MATCH($BC$93,$A$94:$H$94,0))*고양시_Modal_split!J$6 * 0.01</f>
        <v>1.1603337267121643E-2</v>
      </c>
      <c r="BK99" s="207">
        <f>INDEX($A$94:$H$106,MATCH($L99,$B$94:$B$106,0),MATCH($BC$93,$A$94:$H$94,0))*고양시_Modal_split!K$6 * 0.01</f>
        <v>0</v>
      </c>
      <c r="BL99" s="207">
        <f>INDEX($A$94:$H$106,MATCH($L99,$B$94:$B$106,0),MATCH($BC$93,$A$94:$H$94,0))*고양시_Modal_split!L$6 * 0.01</f>
        <v>1.7851288103264069E-3</v>
      </c>
      <c r="BM99" s="207">
        <f>INDEX($A$94:$H$106,MATCH($L99,$B$94:$B$106,0),MATCH($BC$93,$A$94:$H$94,0))*고양시_Modal_split!M$6 * 0.01</f>
        <v>2.1374568649960928E-3</v>
      </c>
      <c r="BN99" s="207">
        <f>INDEX($A$94:$H$106,MATCH($L99,$B$94:$B$106,0),MATCH($BC$93,$A$94:$H$94,0))*고양시_Modal_split!N$6 * 0.01</f>
        <v>0</v>
      </c>
      <c r="BO99" s="207">
        <f>INDEX($A$94:$H$106,MATCH($L99,$B$94:$B$106,0),MATCH($BC$93,$A$94:$H$94,0))*고양시_Modal_split!O$6 * 0.01</f>
        <v>1.8790829582383231E-4</v>
      </c>
      <c r="BP99" s="214">
        <f>INDEX($A$94:$H$106,MATCH($L99,$B$94:$B$106,0),MATCH($BC$93,$A$94:$H$94,0))*고양시_Modal_split!P$6 * 0.01</f>
        <v>0.23488536977979038</v>
      </c>
      <c r="BQ99" s="213">
        <f>INDEX($A$94:$H$106,MATCH($L99,$B$94:$B$106,0),MATCH($BQ$93,$A$94:$H$94,0))*고양시_Modal_split!C$7 * 0.01</f>
        <v>0</v>
      </c>
      <c r="BR99" s="213">
        <f>INDEX($A$94:$H$106,MATCH($L99,$B$94:$B$106,0),MATCH($BQ$93,$A$94:$H$94,0))*고양시_Modal_split!D$7 * 0.01</f>
        <v>0.5437648507151005</v>
      </c>
      <c r="BS99" s="213">
        <f>INDEX($A$94:$H$106,MATCH($L99,$B$94:$B$106,0),MATCH($BQ$93,$A$94:$H$94,0))*고양시_Modal_split!E$7 * 0.01</f>
        <v>2.6531607435348405E-2</v>
      </c>
      <c r="BT99" s="213">
        <f>INDEX($A$94:$H$106,MATCH($L99,$B$94:$B$106,0),MATCH($BQ$93,$A$94:$H$94,0))*고양시_Modal_split!F$7 * 0.01</f>
        <v>8.8734473027921104E-3</v>
      </c>
      <c r="BU99" s="213">
        <f>INDEX($A$94:$H$106,MATCH($L99,$B$94:$B$106,0),MATCH($BQ$93,$A$94:$H$94,0))*고양시_Modal_split!G$7 * 0.01</f>
        <v>3.7268478671726862E-3</v>
      </c>
      <c r="BV99" s="213">
        <f>INDEX($A$94:$H$106,MATCH($L99,$B$94:$B$106,0),MATCH($BQ$93,$A$94:$H$94,0))*고양시_Modal_split!H$7 * 0.01</f>
        <v>4.9602570422607892E-2</v>
      </c>
      <c r="BW99" s="213">
        <f>INDEX($A$94:$H$106,MATCH($L99,$B$94:$B$106,0),MATCH($BQ$93,$A$94:$H$94,0))*고양시_Modal_split!I$7 * 0.01</f>
        <v>0.16566726114312871</v>
      </c>
      <c r="BX99" s="213">
        <f>INDEX($A$94:$H$106,MATCH($L99,$B$94:$B$106,0),MATCH($BQ$93,$A$94:$H$94,0))*고양시_Modal_split!J$7 * 0.01</f>
        <v>1.7746894605584222E-4</v>
      </c>
      <c r="BY99" s="213">
        <f>INDEX($A$94:$H$106,MATCH($L99,$B$94:$B$106,0),MATCH($BQ$93,$A$94:$H$94,0))*고양시_Modal_split!K$7 * 0.01</f>
        <v>6.8325544231499252E-2</v>
      </c>
      <c r="BZ99" s="213">
        <f>INDEX($A$94:$H$106,MATCH($L99,$B$94:$B$106,0),MATCH($BQ$93,$A$94:$H$94,0))*고양시_Modal_split!L$7 * 0.01</f>
        <v>6.2114131119544763E-4</v>
      </c>
      <c r="CA99" s="213">
        <f>INDEX($A$94:$H$106,MATCH($L99,$B$94:$B$106,0),MATCH($BQ$93,$A$94:$H$94,0))*고양시_Modal_split!M$7 * 0.01</f>
        <v>1.6593346456221247E-2</v>
      </c>
      <c r="CB99" s="213">
        <f>INDEX($A$94:$H$106,MATCH($L99,$B$94:$B$106,0),MATCH($BQ$93,$A$94:$H$94,0))*고양시_Modal_split!N$7 * 0.01</f>
        <v>3.4606444480889224E-3</v>
      </c>
      <c r="CC99" s="213">
        <f>INDEX($A$94:$H$106,MATCH($L99,$B$94:$B$106,0),MATCH($BQ$93,$A$94:$H$94,0))*고양시_Modal_split!O$7 * 0.01</f>
        <v>0</v>
      </c>
      <c r="CD99" s="213">
        <f>INDEX($A$94:$H$106,MATCH($L99,$B$94:$B$106,0),MATCH($BQ$93,$A$94:$H$94,0))*고양시_Modal_split!P$7 * 0.01</f>
        <v>0.88734473027921101</v>
      </c>
      <c r="CE99" s="218">
        <f t="shared" si="58"/>
        <v>794.18166063368915</v>
      </c>
      <c r="CF99" s="208">
        <f t="shared" si="39"/>
        <v>1115.1269811784039</v>
      </c>
      <c r="CG99" s="208">
        <f t="shared" si="40"/>
        <v>237.67357395192491</v>
      </c>
      <c r="CH99" s="208">
        <f t="shared" si="41"/>
        <v>60.913908637369097</v>
      </c>
      <c r="CI99" s="208">
        <f t="shared" si="42"/>
        <v>309.37968498928041</v>
      </c>
      <c r="CJ99" s="208">
        <f t="shared" si="43"/>
        <v>0.20270085444507574</v>
      </c>
      <c r="CK99" s="208">
        <f t="shared" si="44"/>
        <v>104.99014566670955</v>
      </c>
      <c r="CL99" s="208">
        <f t="shared" si="45"/>
        <v>241.6819319347785</v>
      </c>
      <c r="CM99" s="208">
        <f t="shared" si="46"/>
        <v>0.63822008741587999</v>
      </c>
      <c r="CN99" s="208">
        <f t="shared" si="47"/>
        <v>135.05531640827633</v>
      </c>
      <c r="CO99" s="208">
        <f t="shared" si="48"/>
        <v>19.30433597779589</v>
      </c>
      <c r="CP99" s="208">
        <f t="shared" si="49"/>
        <v>65.752570743369844</v>
      </c>
      <c r="CQ99" s="208">
        <f t="shared" si="50"/>
        <v>31.088284435253595</v>
      </c>
      <c r="CR99" s="219">
        <f t="shared" si="51"/>
        <v>3115.9893154987121</v>
      </c>
      <c r="CS99" s="225">
        <f t="shared" si="59"/>
        <v>0</v>
      </c>
      <c r="CV99" s="265"/>
      <c r="CW99" s="266" t="s">
        <v>16</v>
      </c>
      <c r="CX99" s="267">
        <f>INDEX($M$93:$Z$106,MATCH($CW99,$L$93:$L$106,0),MATCH(CX$94,$M$94:$Z$94,0))/INDEX(고양시_재차인원!$D$4:$H$35,MATCH("고양시",고양시_재차인원!$B$4:$B$35,0),MATCH('A.일산테크노밸리(859991)_수정'!$CX$93,고양시_재차인원!$D$4:$H$4,0))</f>
        <v>151.16826729029438</v>
      </c>
      <c r="CY99" s="267">
        <f>INDEX($M$93:$Z$106,MATCH($CW99,$L$93:$L$106,0),MATCH(CY$94,$M$94:$Z$94,0))/INDEX(고양시_재차인원!$K$4:$O$20,MATCH("경기도",고양시_재차인원!$K$4:$K$20,0),MATCH('A.일산테크노밸리(859991)_수정'!CY$94,고양시_재차인원!$K$4:$O$4,0))</f>
        <v>1.2504375712023602E-3</v>
      </c>
      <c r="CZ99" s="267">
        <f>INDEX($M$93:$Z$106,MATCH($CW99,$L$93:$L$106,0),MATCH(CZ$94,$M$94:$Z$94,0))/INDEX(고양시_재차인원!$K$4:$O$20,MATCH("경기도",고양시_재차인원!$K$4:$K$20,0),MATCH('A.일산테크노밸리(859991)_수정'!CZ$94,고양시_재차인원!$K$4:$O$4,0))</f>
        <v>0.34762164479425617</v>
      </c>
      <c r="DA99" s="267">
        <f>INDEX($M$93:$Z$106,MATCH($CW99,$L$93:$L$106,0),MATCH(DA$94,$M$94:$Z$94,0))/INDEX(고양시_재차인원!$K$4:$O$20,MATCH("경기도",고양시_재차인원!$K$4:$K$20,0),MATCH('A.일산테크노밸리(859991)_수정'!DA$94,고양시_재차인원!$K$4:$O$4,0))</f>
        <v>7.2480196652164111</v>
      </c>
      <c r="DB99" s="268">
        <f>INDEX($AA$93:$AN$106,MATCH($CW99,$L$93:$L$106,0),MATCH(DB$94,$AA$94:$AN$94,0))/INDEX(고양시_재차인원!$D$4:$H$35,MATCH("고양시",고양시_재차인원!$B$4:$B$35,0),MATCH('A.일산테크노밸리(859991)_수정'!$DB$93,고양시_재차인원!$D$4:$H$4,0))</f>
        <v>592.5900782791872</v>
      </c>
      <c r="DC99" s="267">
        <f>INDEX($AA$93:$AN$106,MATCH($CW99,$L$93:$L$106,0),MATCH(DC$94,$AA$94:$AN$94,0))/INDEX(고양시_재차인원!$K$4:$O$20,MATCH("경기도",고양시_재차인원!$K$4:$K$20,0),MATCH('A.일산테크노밸리(859991)_수정'!DC$94,고양시_재차인원!$K$4:$O$4,0))</f>
        <v>0</v>
      </c>
      <c r="DD99" s="267">
        <f>INDEX($AA$93:$AN$106,MATCH($CW99,$L$93:$L$106,0),MATCH(DD$94,$AA$94:$AN$94,0))/INDEX(고양시_재차인원!$K$4:$O$20,MATCH("경기도",고양시_재차인원!$K$4:$K$20,0),MATCH('A.일산테크노밸리(859991)_수정'!DD$94,고양시_재차인원!$K$4:$O$4,0))</f>
        <v>3.149286036764527</v>
      </c>
      <c r="DE99" s="267">
        <f>INDEX($AA$93:$AN$106,MATCH($CW99,$L$93:$L$106,0),MATCH(DE$94,$AA$94:$AN$94,0))/INDEX(고양시_재차인원!$K$4:$O$20,MATCH("경기도",고양시_재차인원!$K$4:$K$20,0),MATCH('A.일산테크노밸리(859991)_수정'!DE$94,고양시_재차인원!$K$4:$O$4,0))</f>
        <v>80.246342125065595</v>
      </c>
      <c r="DF99" s="268">
        <f>INDEX($AO$93:$BB$106,MATCH($CW99,$L$93:$L$106,0),MATCH(DF$94,$AO$94:$BB$94,0))/INDEX(고양시_재차인원!$D$4:$H$35,MATCH("고양시",고양시_재차인원!$B$4:$B$35,0),MATCH('A.일산테크노밸리(859991)_수정'!$DF$93,고양시_재차인원!$D$4:$H$4,0))</f>
        <v>84.252490780146346</v>
      </c>
      <c r="DG99" s="267">
        <f>INDEX($AO$93:$BB$106,MATCH($CW99,$L$93:$L$106,0),MATCH(DG$94,$AO$94:$BB$94,0))/INDEX(고양시_재차인원!$K$4:$O$20,MATCH("경기도",고양시_재차인원!$K$4:$K$20,0),MATCH('A.일산테크노밸리(859991)_수정'!DG$94,고양시_재차인원!$K$4:$O$4,0))</f>
        <v>3.6341011883377927E-3</v>
      </c>
      <c r="DH99" s="267">
        <f>INDEX($AO$93:$BB$106,MATCH($CW99,$L$93:$L$106,0),MATCH(DH$94,$AO$94:$BB$94,0))/INDEX(고양시_재차인원!$K$4:$O$20,MATCH("경기도",고양시_재차인원!$K$4:$K$20,0),MATCH('A.일산테크노밸리(859991)_수정'!DH$94,고양시_재차인원!$K$4:$O$4,0))</f>
        <v>0.14380657559565266</v>
      </c>
      <c r="DI99" s="267">
        <f>INDEX($AO$93:$BB$106,MATCH($CW99,$L$93:$L$106,0),MATCH(DI$94,$AO$94:$BB$94,0))/INDEX(고양시_재차인원!$K$4:$O$20,MATCH("경기도",고양시_재차인원!$K$4:$K$20,0),MATCH('A.일산테크노밸리(859991)_수정'!DI$94,고양시_재차인원!$K$4:$O$4,0))</f>
        <v>2.5409116351545222</v>
      </c>
      <c r="DJ99" s="268">
        <f>INDEX($BC$93:$BP$106,MATCH($CW99,$L$93:$L$106,0),MATCH(DJ$94,$BC$94:$BP$94,0))/INDEX(고양시_재차인원!$D$4:$H$35,MATCH("고양시",고양시_재차인원!$B$4:$B$35,0),MATCH('A.일산테크노밸리(859991)_수정'!$DJ$93,고양시_재차인원!$D$4:$H$4,0))</f>
        <v>0.14302101081959145</v>
      </c>
      <c r="DK99" s="267">
        <f>INDEX($BC$93:$BP$106,MATCH($CW99,$L$93:$L$106,0),MATCH(DK$94,$BC$94:$BP$94,0))/INDEX(고양시_재차인원!$K$4:$O$20,MATCH("경기도",고양시_재차인원!$K$4:$K$20,0),MATCH('A.일산테크노밸리(859991)_수정'!DK$94,고양시_재차인원!$K$4:$O$4,0))</f>
        <v>4.3322032425518824E-4</v>
      </c>
      <c r="DL99" s="267">
        <f>INDEX($BC$93:$BP$106,MATCH($CW99,$L$93:$L$106,0),MATCH(DL$94,$BC$94:$BP$94,0))/INDEX(고양시_재차인원!$K$4:$O$20,MATCH("경기도",고양시_재차인원!$K$4:$K$20,0),MATCH('A.일산테크노밸리(859991)_수정'!DL$94,고양시_재차인원!$K$4:$O$4,0))</f>
        <v>2.8881354950345886E-4</v>
      </c>
      <c r="DM99" s="267">
        <f>INDEX($BC$93:$BP$106,MATCH($CW99,$L$93:$L$106,0),MATCH(DM$94,$BC$94:$BP$94,0))/INDEX(고양시_재차인원!$K$4:$O$20,MATCH("경기도",고양시_재차인원!$K$4:$K$20,0),MATCH('A.일산테크노밸리(859991)_수정'!DM$94,고양시_재차인원!$K$4:$O$4,0))</f>
        <v>1.190085873550938E-3</v>
      </c>
      <c r="DN99" s="268">
        <f>INDEX($BQ$93:$CD$106,MATCH($CW99,$L$93:$L$106,0),MATCH(DN$94,$BQ$94:$CD$94,0))/INDEX(고양시_재차인원!$D$4:$H$35,MATCH("고양시",고양시_재차인원!$B$4:$B$35,0),MATCH('A.일산테크노밸리(859991)_수정'!$DN$93,고양시_재차인원!$D$4:$H$4,0))</f>
        <v>0.43155940532944481</v>
      </c>
      <c r="DO99" s="267">
        <f>INDEX($BQ$93:$CD$106,MATCH($CW99,$L$93:$L$106,0),MATCH(DO$94,$BQ$94:$CD$94,0))/INDEX(고양시_재차인원!$K$4:$O$20,MATCH("경기도",고양시_재차인원!$K$4:$K$20,0),MATCH('A.일산테크노밸리(859991)_수정'!DO$94,고양시_재차인원!$K$4:$O$4,0))</f>
        <v>1.7229097055438656E-3</v>
      </c>
      <c r="DP99" s="267">
        <f>INDEX($BQ$93:$CD$106,MATCH($CW99,$L$93:$L$106,0),MATCH(DP$94,$BQ$94:$CD$94,0))/INDEX(고양시_재차인원!$K$4:$O$20,MATCH("경기도",고양시_재차인원!$K$4:$K$20,0),MATCH('A.일산테크노밸리(859991)_수정'!DP$94,고양시_재차인원!$K$4:$O$4,0))</f>
        <v>5.7543334888200317E-3</v>
      </c>
      <c r="DQ99" s="267">
        <f>INDEX($BQ$93:$CD$106,MATCH($CW99,$L$93:$L$106,0),MATCH(DQ$94,$BQ$94:$CD$94,0))/INDEX(고양시_재차인원!$K$4:$O$20,MATCH("경기도",고양시_재차인원!$K$4:$K$20,0),MATCH('A.일산테크노밸리(859991)_수정'!DQ$94,고양시_재차인원!$K$4:$O$4,0))</f>
        <v>4.1409420746363177E-4</v>
      </c>
      <c r="DR99" s="269">
        <f t="shared" si="60"/>
        <v>828.58541676577693</v>
      </c>
      <c r="DS99" s="270">
        <f t="shared" si="52"/>
        <v>7.0406687893392068E-3</v>
      </c>
      <c r="DT99" s="270">
        <f t="shared" si="53"/>
        <v>3.6467574041927593</v>
      </c>
      <c r="DU99" s="270">
        <f t="shared" si="54"/>
        <v>90.036877605517518</v>
      </c>
      <c r="DW99" s="278"/>
      <c r="DX99" s="278" t="s">
        <v>592</v>
      </c>
      <c r="DY99" s="281">
        <f t="shared" si="61"/>
        <v>918.6222943712944</v>
      </c>
      <c r="DZ99" s="281">
        <f t="shared" si="62"/>
        <v>3.6537980729820987</v>
      </c>
      <c r="EC99" s="412" t="s">
        <v>15</v>
      </c>
      <c r="ED99" s="412" t="s">
        <v>570</v>
      </c>
      <c r="EE99" s="412">
        <v>24085.599100000003</v>
      </c>
      <c r="EF99" s="412">
        <v>0.11186292027724311</v>
      </c>
      <c r="EG99" s="413">
        <v>859006</v>
      </c>
      <c r="EH99" s="414">
        <f t="shared" si="55"/>
        <v>921.05638288879697</v>
      </c>
      <c r="EI99" s="415">
        <f t="shared" si="56"/>
        <v>3.6634796014941027</v>
      </c>
      <c r="EJ99" s="402">
        <v>0</v>
      </c>
      <c r="EM99" s="278" t="s">
        <v>15</v>
      </c>
      <c r="EN99" s="278" t="s">
        <v>570</v>
      </c>
      <c r="EO99" s="278">
        <v>24085.599100000003</v>
      </c>
      <c r="EP99" s="278">
        <v>0.11186292027724311</v>
      </c>
      <c r="EQ99" s="289">
        <v>859006</v>
      </c>
      <c r="ER99" s="290">
        <f t="shared" si="37"/>
        <v>921.05638288879697</v>
      </c>
      <c r="ES99" s="291">
        <f t="shared" si="38"/>
        <v>3.6634796014941027</v>
      </c>
      <c r="ET99" s="402">
        <v>0</v>
      </c>
      <c r="EV99" s="34"/>
      <c r="EW99" s="34"/>
      <c r="EX99" s="34"/>
      <c r="EY99" s="34"/>
      <c r="EZ99" s="378"/>
      <c r="FA99" s="401"/>
      <c r="FB99" s="402"/>
      <c r="FC99" s="402"/>
    </row>
    <row r="100" spans="1:159" ht="25">
      <c r="A100" s="205"/>
      <c r="B100" s="205" t="s">
        <v>17</v>
      </c>
      <c r="C100" s="400">
        <f>'A.일산테크노밸리(859991)_수정'!$P33*KTDB_TripDistribution_2035!T$12 * (1+KTDB_발생량도착량_증가율!$D$8 *5) * (1+KTDB_발생량도착량_증가율!$E$8 *5)</f>
        <v>307.3290781153766</v>
      </c>
      <c r="D100" s="400">
        <f>'A.일산테크노밸리(859991)_수정'!$P33*KTDB_TripDistribution_2035!U$12 * (1+KTDB_발생량도착량_증가율!$D$8 *5) * (1+KTDB_발생량도착량_증가율!$E$8 *5)</f>
        <v>2224.2034122269183</v>
      </c>
      <c r="E100" s="400">
        <f>'A.일산테크노밸리(859991)_수정'!$P33*KTDB_TripDistribution_2035!V$12 * (1+KTDB_발생량도착량_증가율!$D$8 *5) * (1+KTDB_발생량도착량_증가율!$E$8 *5)</f>
        <v>127.59704439370491</v>
      </c>
      <c r="F100" s="400">
        <f>'A.일산테크노밸리(859991)_수정'!$P33*KTDB_TripDistribution_2035!W$12 * (1+KTDB_발생량도착량_증가율!$D$8 *5) * (1+KTDB_발생량도착량_증가율!$E$8 *5)</f>
        <v>0.2005191897229508</v>
      </c>
      <c r="G100" s="400">
        <f>'A.일산테크노밸리(859991)_수정'!$P33*KTDB_TripDistribution_2035!X$12 * (1+KTDB_발생량도착량_증가율!$D$8 *5) * (1+KTDB_발생량도착량_증가율!$E$8 *5)</f>
        <v>0.75751693895337213</v>
      </c>
      <c r="H100" s="400">
        <f>'A.일산테크노밸리(859991)_수정'!$P33*KTDB_TripDistribution_2035!Y$12 * (1+KTDB_발생량도착량_증가율!$D$8 *5) * (1+KTDB_발생량도착량_증가율!$E$8 *5)</f>
        <v>2660.0875708646763</v>
      </c>
      <c r="J100" s="230">
        <f t="shared" si="57"/>
        <v>2660.0875708646759</v>
      </c>
      <c r="K100" s="206"/>
      <c r="L100" s="209" t="s">
        <v>17</v>
      </c>
      <c r="M100" s="213">
        <f>INDEX($A$94:$H$106,MATCH($L100,$B$94:$B$106,0),MATCH($M$93,$A$94:$H$94,0))*고양시_Modal_split!C$3 * 0.01</f>
        <v>0.86052141872305443</v>
      </c>
      <c r="N100" s="213">
        <f>INDEX($A$94:$H$106,MATCH($L100,$B$94:$B$106,0),MATCH($M$93,$A$94:$H$94,0))*고양시_Modal_split!D$3 * 0.01</f>
        <v>144.53686543766162</v>
      </c>
      <c r="O100" s="213">
        <f>INDEX($A$94:$H$106,MATCH($L100,$B$94:$B$106,0),MATCH($M$93,$A$94:$H$94,0))*고양시_Modal_split!E$3 * 0.01</f>
        <v>17.487024544764928</v>
      </c>
      <c r="P100" s="213">
        <f>INDEX($A$94:$H$106,MATCH($L100,$B$94:$B$106,0),MATCH($M$93,$A$94:$H$94,0))*고양시_Modal_split!F$3 * 0.01</f>
        <v>28.182076463180035</v>
      </c>
      <c r="Q100" s="213">
        <f>INDEX($A$94:$H$106,MATCH($L100,$B$94:$B$106,0),MATCH($M$93,$A$94:$H$94,0))*고양시_Modal_split!G$3 * 0.01</f>
        <v>2.827427518661465</v>
      </c>
      <c r="R100" s="213">
        <f>INDEX($A$94:$H$106,MATCH($L100,$B$94:$B$106,0),MATCH($M$93,$A$94:$H$94,0))*고양시_Modal_split!H$3 * 0.01</f>
        <v>3.0732907811537664E-2</v>
      </c>
      <c r="S100" s="213">
        <f>INDEX($A$94:$H$106,MATCH($L100,$B$94:$B$106,0),MATCH($M$93,$A$94:$H$94,0))*고양시_Modal_split!I$3 * 0.01</f>
        <v>8.5437483716074691</v>
      </c>
      <c r="T100" s="213">
        <f>INDEX($A$94:$H$106,MATCH($L100,$B$94:$B$106,0),MATCH($M$93,$A$94:$H$94,0))*고양시_Modal_split!J$3 * 0.01</f>
        <v>93.550971378320654</v>
      </c>
      <c r="U100" s="213">
        <f>INDEX($A$94:$H$106,MATCH($L100,$B$94:$B$106,0),MATCH($M$93,$A$94:$H$94,0))*고양시_Modal_split!K$3 * 0.01</f>
        <v>0.46099361717306486</v>
      </c>
      <c r="V100" s="213">
        <f>INDEX($A$94:$H$106,MATCH($L100,$B$94:$B$106,0),MATCH($M$93,$A$94:$H$94,0))*고양시_Modal_split!L$3 * 0.01</f>
        <v>9.281338159084374</v>
      </c>
      <c r="W100" s="213">
        <f>INDEX($A$94:$H$106,MATCH($L100,$B$94:$B$106,0),MATCH($M$93,$A$94:$H$94,0))*고양시_Modal_split!M$3 * 0.01</f>
        <v>0.70685687966536626</v>
      </c>
      <c r="X100" s="213">
        <f>INDEX($A$94:$H$106,MATCH($L100,$B$94:$B$106,0),MATCH($M$93,$A$94:$H$94,0))*고양시_Modal_split!N$3 * 0.01</f>
        <v>0.30732907811537663</v>
      </c>
      <c r="Y100" s="213">
        <f>INDEX($A$94:$H$106,MATCH($L100,$B$94:$B$106,0),MATCH($M$93,$A$94:$H$94,0))*고양시_Modal_split!O$3 * 0.01</f>
        <v>0.55319234060767786</v>
      </c>
      <c r="Z100" s="213">
        <f>INDEX($A$94:$H$106,MATCH($L100,$B$94:$B$106,0),MATCH($M$93,$A$94:$H$94,0))*고양시_Modal_split!P$3 * 0.01</f>
        <v>307.3290781153766</v>
      </c>
      <c r="AA100" s="213">
        <f>INDEX($A$94:$H$106,MATCH($L100,$B$94:$B$106,0),MATCH($AA$93,$A$94:$H$94,0))*고양시_Modal_split!C$4 * 0.01</f>
        <v>677.04751868187395</v>
      </c>
      <c r="AB100" s="213">
        <f>INDEX($A$94:$H$106,MATCH($L100,$B$94:$B$106,0),MATCH($AA$93,$A$94:$H$94,0))*고양시_Modal_split!D$4 * 0.01</f>
        <v>713.30203430117274</v>
      </c>
      <c r="AC100" s="213">
        <f>INDEX($A$94:$H$106,MATCH($L100,$B$94:$B$106,0),MATCH($AA$93,$A$94:$H$94,0))*고양시_Modal_split!E$4 * 0.01</f>
        <v>172.82060513003159</v>
      </c>
      <c r="AD100" s="213">
        <f>INDEX($A$94:$H$106,MATCH($L100,$B$94:$B$106,0),MATCH($AA$93,$A$94:$H$94,0))*고양시_Modal_split!F$4 * 0.01</f>
        <v>21.129932416155725</v>
      </c>
      <c r="AE100" s="213">
        <f>INDEX($A$94:$H$106,MATCH($L100,$B$94:$B$106,0),MATCH($AA$93,$A$94:$H$94,0))*고양시_Modal_split!G$4 * 0.01</f>
        <v>260.45421957177211</v>
      </c>
      <c r="AF100" s="213">
        <f>INDEX($A$94:$H$106,MATCH($L100,$B$94:$B$106,0),MATCH($AA$93,$A$94:$H$94,0))*고양시_Modal_split!H$4 * 0.01</f>
        <v>0</v>
      </c>
      <c r="AG100" s="213">
        <f>INDEX($A$94:$H$106,MATCH($L100,$B$94:$B$106,0),MATCH($AA$93,$A$94:$H$94,0))*고양시_Modal_split!I$4 * 0.01</f>
        <v>77.402278745496758</v>
      </c>
      <c r="AH100" s="213">
        <f>INDEX($A$94:$H$106,MATCH($L100,$B$94:$B$106,0),MATCH($AA$93,$A$94:$H$94,0))*고양시_Modal_split!J$4 * 0.01</f>
        <v>104.75998071588785</v>
      </c>
      <c r="AI100" s="213">
        <f>INDEX($A$94:$H$106,MATCH($L100,$B$94:$B$106,0),MATCH($AA$93,$A$94:$H$94,0))*고양시_Modal_split!K$4 * 0.01</f>
        <v>0</v>
      </c>
      <c r="AJ100" s="213">
        <f>INDEX($A$94:$H$106,MATCH($L100,$B$94:$B$106,0),MATCH($AA$93,$A$94:$H$94,0))*고양시_Modal_split!L$4 * 0.01</f>
        <v>102.75819764488362</v>
      </c>
      <c r="AK100" s="213">
        <f>INDEX($A$94:$H$106,MATCH($L100,$B$94:$B$106,0),MATCH($AA$93,$A$94:$H$94,0))*고양시_Modal_split!M$4 * 0.01</f>
        <v>14.902162861920354</v>
      </c>
      <c r="AL100" s="213">
        <f>INDEX($A$94:$H$106,MATCH($L100,$B$94:$B$106,0),MATCH($AA$93,$A$94:$H$94,0))*고양시_Modal_split!N$4 * 0.01</f>
        <v>55.605085305672958</v>
      </c>
      <c r="AM100" s="213">
        <f>INDEX($A$94:$H$106,MATCH($L100,$B$94:$B$106,0),MATCH($AA$93,$A$94:$H$94,0))*고양시_Modal_split!O$4 * 0.01</f>
        <v>24.021396852050721</v>
      </c>
      <c r="AN100" s="213">
        <f>INDEX($A$94:$H$106,MATCH($L100,$B$94:$B$106,0),MATCH($AA$93,$A$94:$H$94,0))*고양시_Modal_split!P$4 * 0.01</f>
        <v>2224.2034122269183</v>
      </c>
      <c r="AO100" s="213">
        <f>INDEX($A$94:$H$106,MATCH($L100,$B$94:$B$106,0),MATCH($AO$93,$A$94:$H$94,0))*고양시_Modal_split!C$5 * 0.01</f>
        <v>7.6558226636222942E-2</v>
      </c>
      <c r="AP100" s="213">
        <f>INDEX($A$94:$H$106,MATCH($L100,$B$94:$B$106,0),MATCH($AO$93,$A$94:$H$94,0))*고양시_Modal_split!D$5 * 0.01</f>
        <v>93.503114131706951</v>
      </c>
      <c r="AQ100" s="213">
        <f>INDEX($A$94:$H$106,MATCH($L100,$B$94:$B$106,0),MATCH($AO$93,$A$94:$H$94,0))*고양시_Modal_split!E$5 * 0.01</f>
        <v>12.568308872779934</v>
      </c>
      <c r="AR100" s="213">
        <f>INDEX($A$94:$H$106,MATCH($L100,$B$94:$B$106,0),MATCH($AO$93,$A$94:$H$94,0))*고양시_Modal_split!F$5 * 0.01</f>
        <v>2.6795379322678032</v>
      </c>
      <c r="AS100" s="213">
        <f>INDEX($A$94:$H$106,MATCH($L100,$B$94:$B$106,0),MATCH($AO$93,$A$94:$H$94,0))*고양시_Modal_split!G$5 * 0.01</f>
        <v>0.82938078855908193</v>
      </c>
      <c r="AT100" s="213">
        <f>INDEX($A$94:$H$106,MATCH($L100,$B$94:$B$106,0),MATCH($AO$93,$A$94:$H$94,0))*고양시_Modal_split!H$5 * 0.01</f>
        <v>8.9317931075593424E-2</v>
      </c>
      <c r="AU100" s="213">
        <f>INDEX($A$94:$H$106,MATCH($L100,$B$94:$B$106,0),MATCH($AO$93,$A$94:$H$94,0))*고양시_Modal_split!I$5 * 0.01</f>
        <v>3.534438129705626</v>
      </c>
      <c r="AV100" s="213">
        <f>INDEX($A$94:$H$106,MATCH($L100,$B$94:$B$106,0),MATCH($AO$93,$A$94:$H$94,0))*고양시_Modal_split!J$5 * 0.01</f>
        <v>8.0003346834852991</v>
      </c>
      <c r="AW100" s="213">
        <f>INDEX($A$94:$H$106,MATCH($L100,$B$94:$B$106,0),MATCH($AO$93,$A$94:$H$94,0))*고양시_Modal_split!K$5 * 0.01</f>
        <v>2.5519408878740983E-2</v>
      </c>
      <c r="AX100" s="213">
        <f>INDEX($A$94:$H$106,MATCH($L100,$B$94:$B$106,0),MATCH($AO$93,$A$94:$H$94,0))*고양시_Modal_split!L$5 * 0.01</f>
        <v>3.2537246320394746</v>
      </c>
      <c r="AY100" s="213">
        <f>INDEX($A$94:$H$106,MATCH($L100,$B$94:$B$106,0),MATCH($AO$93,$A$94:$H$94,0))*고양시_Modal_split!M$5 * 0.01</f>
        <v>0.85490019743782297</v>
      </c>
      <c r="AZ100" s="213">
        <f>INDEX($A$94:$H$106,MATCH($L100,$B$94:$B$106,0),MATCH($AO$93,$A$94:$H$94,0))*고양시_Modal_split!N$5 * 0.01</f>
        <v>0.2169149754692983</v>
      </c>
      <c r="BA100" s="213">
        <f>INDEX($A$94:$H$106,MATCH($L100,$B$94:$B$106,0),MATCH($AO$93,$A$94:$H$94,0))*고양시_Modal_split!O$5 * 0.01</f>
        <v>1.9649944836630555</v>
      </c>
      <c r="BB100" s="213">
        <f>INDEX($A$94:$H$106,MATCH($L100,$B$94:$B$106,0),MATCH($AO$93,$A$94:$H$94,0))*고양시_Modal_split!P$5 * 0.01</f>
        <v>127.59704439370489</v>
      </c>
      <c r="BC100" s="213">
        <f>INDEX($A$94:$H$106,MATCH($L100,$B$94:$B$106,0),MATCH($BC$93,$A$94:$H$94,0))*고양시_Modal_split!C$6 * 0.01</f>
        <v>0</v>
      </c>
      <c r="BD100" s="207">
        <f>INDEX($A$94:$H$106,MATCH($L100,$B$94:$B$106,0),MATCH($BC$93,$A$94:$H$94,0))*고양시_Modal_split!D$6 * 0.01</f>
        <v>0.16604994100957554</v>
      </c>
      <c r="BE100" s="207">
        <f>INDEX($A$94:$H$106,MATCH($L100,$B$94:$B$106,0),MATCH($BC$93,$A$94:$H$94,0))*고양시_Modal_split!E$6 * 0.01</f>
        <v>8.622325158086884E-4</v>
      </c>
      <c r="BF100" s="207">
        <f>INDEX($A$94:$H$106,MATCH($L100,$B$94:$B$106,0),MATCH($BC$93,$A$94:$H$94,0))*고양시_Modal_split!F$6 * 0.01</f>
        <v>2.4463341146199998E-3</v>
      </c>
      <c r="BG100" s="207">
        <f>INDEX($A$94:$H$106,MATCH($L100,$B$94:$B$106,0),MATCH($BC$93,$A$94:$H$94,0))*고양시_Modal_split!G$6 * 0.01</f>
        <v>0</v>
      </c>
      <c r="BH100" s="207">
        <f>INDEX($A$94:$H$106,MATCH($L100,$B$94:$B$106,0),MATCH($BC$93,$A$94:$H$94,0))*고양시_Modal_split!H$6 * 0.01</f>
        <v>1.0647568974288688E-2</v>
      </c>
      <c r="BI100" s="207">
        <f>INDEX($A$94:$H$106,MATCH($L100,$B$94:$B$106,0),MATCH($BC$93,$A$94:$H$94,0))*고양시_Modal_split!I$6 * 0.01</f>
        <v>7.0983793161924578E-3</v>
      </c>
      <c r="BJ100" s="207">
        <f>INDEX($A$94:$H$106,MATCH($L100,$B$94:$B$106,0),MATCH($BC$93,$A$94:$H$94,0))*고양시_Modal_split!J$6 * 0.01</f>
        <v>9.9056479723137678E-3</v>
      </c>
      <c r="BK100" s="207">
        <f>INDEX($A$94:$H$106,MATCH($L100,$B$94:$B$106,0),MATCH($BC$93,$A$94:$H$94,0))*고양시_Modal_split!K$6 * 0.01</f>
        <v>0</v>
      </c>
      <c r="BL100" s="207">
        <f>INDEX($A$94:$H$106,MATCH($L100,$B$94:$B$106,0),MATCH($BC$93,$A$94:$H$94,0))*고양시_Modal_split!L$6 * 0.01</f>
        <v>1.523945841894426E-3</v>
      </c>
      <c r="BM100" s="207">
        <f>INDEX($A$94:$H$106,MATCH($L100,$B$94:$B$106,0),MATCH($BC$93,$A$94:$H$94,0))*고양시_Modal_split!M$6 * 0.01</f>
        <v>1.8247246264788523E-3</v>
      </c>
      <c r="BN100" s="207">
        <f>INDEX($A$94:$H$106,MATCH($L100,$B$94:$B$106,0),MATCH($BC$93,$A$94:$H$94,0))*고양시_Modal_split!N$6 * 0.01</f>
        <v>0</v>
      </c>
      <c r="BO100" s="207">
        <f>INDEX($A$94:$H$106,MATCH($L100,$B$94:$B$106,0),MATCH($BC$93,$A$94:$H$94,0))*고양시_Modal_split!O$6 * 0.01</f>
        <v>1.6041535177836066E-4</v>
      </c>
      <c r="BP100" s="214">
        <f>INDEX($A$94:$H$106,MATCH($L100,$B$94:$B$106,0),MATCH($BC$93,$A$94:$H$94,0))*고양시_Modal_split!P$6 * 0.01</f>
        <v>0.2005191897229508</v>
      </c>
      <c r="BQ100" s="213">
        <f>INDEX($A$94:$H$106,MATCH($L100,$B$94:$B$106,0),MATCH($BQ$93,$A$94:$H$94,0))*고양시_Modal_split!C$7 * 0.01</f>
        <v>0</v>
      </c>
      <c r="BR100" s="213">
        <f>INDEX($A$94:$H$106,MATCH($L100,$B$94:$B$106,0),MATCH($BQ$93,$A$94:$H$94,0))*고양시_Modal_split!D$7 * 0.01</f>
        <v>0.46420638019062643</v>
      </c>
      <c r="BS100" s="213">
        <f>INDEX($A$94:$H$106,MATCH($L100,$B$94:$B$106,0),MATCH($BQ$93,$A$94:$H$94,0))*고양시_Modal_split!E$7 * 0.01</f>
        <v>2.2649756474705827E-2</v>
      </c>
      <c r="BT100" s="213">
        <f>INDEX($A$94:$H$106,MATCH($L100,$B$94:$B$106,0),MATCH($BQ$93,$A$94:$H$94,0))*고양시_Modal_split!F$7 * 0.01</f>
        <v>7.5751693895337218E-3</v>
      </c>
      <c r="BU100" s="213">
        <f>INDEX($A$94:$H$106,MATCH($L100,$B$94:$B$106,0),MATCH($BQ$93,$A$94:$H$94,0))*고양시_Modal_split!G$7 * 0.01</f>
        <v>3.1815711436041626E-3</v>
      </c>
      <c r="BV100" s="213">
        <f>INDEX($A$94:$H$106,MATCH($L100,$B$94:$B$106,0),MATCH($BQ$93,$A$94:$H$94,0))*고양시_Modal_split!H$7 * 0.01</f>
        <v>4.2345196887493497E-2</v>
      </c>
      <c r="BW100" s="213">
        <f>INDEX($A$94:$H$106,MATCH($L100,$B$94:$B$106,0),MATCH($BQ$93,$A$94:$H$94,0))*고양시_Modal_split!I$7 * 0.01</f>
        <v>0.14142841250259458</v>
      </c>
      <c r="BX100" s="213">
        <f>INDEX($A$94:$H$106,MATCH($L100,$B$94:$B$106,0),MATCH($BQ$93,$A$94:$H$94,0))*고양시_Modal_split!J$7 * 0.01</f>
        <v>1.5150338779067443E-4</v>
      </c>
      <c r="BY100" s="213">
        <f>INDEX($A$94:$H$106,MATCH($L100,$B$94:$B$106,0),MATCH($BQ$93,$A$94:$H$94,0))*고양시_Modal_split!K$7 * 0.01</f>
        <v>5.8328804299409662E-2</v>
      </c>
      <c r="BZ100" s="213">
        <f>INDEX($A$94:$H$106,MATCH($L100,$B$94:$B$106,0),MATCH($BQ$93,$A$94:$H$94,0))*고양시_Modal_split!L$7 * 0.01</f>
        <v>5.3026185726736048E-4</v>
      </c>
      <c r="CA100" s="213">
        <f>INDEX($A$94:$H$106,MATCH($L100,$B$94:$B$106,0),MATCH($BQ$93,$A$94:$H$94,0))*고양시_Modal_split!M$7 * 0.01</f>
        <v>1.4165566758428059E-2</v>
      </c>
      <c r="CB100" s="213">
        <f>INDEX($A$94:$H$106,MATCH($L100,$B$94:$B$106,0),MATCH($BQ$93,$A$94:$H$94,0))*고양시_Modal_split!N$7 * 0.01</f>
        <v>2.954316061918151E-3</v>
      </c>
      <c r="CC100" s="213">
        <f>INDEX($A$94:$H$106,MATCH($L100,$B$94:$B$106,0),MATCH($BQ$93,$A$94:$H$94,0))*고양시_Modal_split!O$7 * 0.01</f>
        <v>0</v>
      </c>
      <c r="CD100" s="213">
        <f>INDEX($A$94:$H$106,MATCH($L100,$B$94:$B$106,0),MATCH($BQ$93,$A$94:$H$94,0))*고양시_Modal_split!P$7 * 0.01</f>
        <v>0.75751693895337213</v>
      </c>
      <c r="CE100" s="218">
        <f t="shared" si="58"/>
        <v>677.98459832723313</v>
      </c>
      <c r="CF100" s="208">
        <f t="shared" si="39"/>
        <v>951.97227019174147</v>
      </c>
      <c r="CG100" s="208">
        <f t="shared" si="40"/>
        <v>202.89945053656695</v>
      </c>
      <c r="CH100" s="208">
        <f t="shared" si="41"/>
        <v>52.001568315107725</v>
      </c>
      <c r="CI100" s="208">
        <f t="shared" si="42"/>
        <v>264.11420945013629</v>
      </c>
      <c r="CJ100" s="208">
        <f t="shared" si="43"/>
        <v>0.17304360474891328</v>
      </c>
      <c r="CK100" s="208">
        <f t="shared" si="44"/>
        <v>89.628992038628624</v>
      </c>
      <c r="CL100" s="208">
        <f t="shared" si="45"/>
        <v>206.32134392905394</v>
      </c>
      <c r="CM100" s="208">
        <f t="shared" si="46"/>
        <v>0.54484183035121547</v>
      </c>
      <c r="CN100" s="208">
        <f t="shared" si="47"/>
        <v>115.29531464370663</v>
      </c>
      <c r="CO100" s="208">
        <f t="shared" si="48"/>
        <v>16.47991023040845</v>
      </c>
      <c r="CP100" s="208">
        <f t="shared" si="49"/>
        <v>56.132283675319556</v>
      </c>
      <c r="CQ100" s="208">
        <f t="shared" si="50"/>
        <v>26.539744091673231</v>
      </c>
      <c r="CR100" s="219">
        <f t="shared" si="51"/>
        <v>2660.0875708646759</v>
      </c>
      <c r="CS100" s="225">
        <f t="shared" si="59"/>
        <v>0</v>
      </c>
      <c r="CV100" s="265"/>
      <c r="CW100" s="266" t="s">
        <v>17</v>
      </c>
      <c r="CX100" s="267">
        <f>INDEX($M$93:$Z$106,MATCH($CW100,$L$93:$L$106,0),MATCH(CX$94,$M$94:$Z$94,0))/INDEX(고양시_재차인원!$D$4:$H$35,MATCH("고양시",고양시_재차인원!$B$4:$B$35,0),MATCH('A.일산테크노밸리(859991)_수정'!$CX$93,고양시_재차인원!$D$4:$H$4,0))</f>
        <v>129.05077271219787</v>
      </c>
      <c r="CY100" s="267">
        <f>INDEX($M$93:$Z$106,MATCH($CW100,$L$93:$L$106,0),MATCH(CY$94,$M$94:$Z$94,0))/INDEX(고양시_재차인원!$K$4:$O$20,MATCH("경기도",고양시_재차인원!$K$4:$K$20,0),MATCH('A.일산테크노밸리(859991)_수정'!CY$94,고양시_재차인원!$K$4:$O$4,0))</f>
        <v>1.0674855092579947E-3</v>
      </c>
      <c r="CZ100" s="267">
        <f>INDEX($M$93:$Z$106,MATCH($CW100,$L$93:$L$106,0),MATCH(CZ$94,$M$94:$Z$94,0))/INDEX(고양시_재차인원!$K$4:$O$20,MATCH("경기도",고양시_재차인원!$K$4:$K$20,0),MATCH('A.일산테크노밸리(859991)_수정'!CZ$94,고양시_재차인원!$K$4:$O$4,0))</f>
        <v>0.29676097157372244</v>
      </c>
      <c r="DA100" s="267">
        <f>INDEX($M$93:$Z$106,MATCH($CW100,$L$93:$L$106,0),MATCH(DA$94,$M$94:$Z$94,0))/INDEX(고양시_재차인원!$K$4:$O$20,MATCH("경기도",고양시_재차인원!$K$4:$K$20,0),MATCH('A.일산테크노밸리(859991)_수정'!DA$94,고양시_재차인원!$K$4:$O$4,0))</f>
        <v>6.187558772722916</v>
      </c>
      <c r="DB100" s="268">
        <f>INDEX($AA$93:$AN$106,MATCH($CW100,$L$93:$L$106,0),MATCH(DB$94,$AA$94:$AN$94,0))/INDEX(고양시_재차인원!$D$4:$H$35,MATCH("고양시",고양시_재차인원!$B$4:$B$35,0),MATCH('A.일산테크노밸리(859991)_수정'!$DB$93,고양시_재차인원!$D$4:$H$4,0))</f>
        <v>505.88796758948422</v>
      </c>
      <c r="DC100" s="267">
        <f>INDEX($AA$93:$AN$106,MATCH($CW100,$L$93:$L$106,0),MATCH(DC$94,$AA$94:$AN$94,0))/INDEX(고양시_재차인원!$K$4:$O$20,MATCH("경기도",고양시_재차인원!$K$4:$K$20,0),MATCH('A.일산테크노밸리(859991)_수정'!DC$94,고양시_재차인원!$K$4:$O$4,0))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0" s="267">
        <f>INDEX($AA$93:$AN$106,MATCH($CW100,$L$93:$L$106,0),MATCH(DD$94,$AA$94:$AN$94,0))/INDEX(고양시_재차인원!$K$4:$O$20,MATCH("경기도",고양시_재차인원!$K$4:$K$20,0),MATCH('A.일산테크노밸리(859991)_수정'!DD$94,고양시_재차인원!$K$4:$O$4,0))</f>
        <v>2.6885126344389287</v>
      </c>
      <c r="DE100" s="267">
        <f>INDEX($AA$93:$AN$106,MATCH($CW100,$L$93:$L$106,0),MATCH(DE$94,$AA$94:$AN$94,0))/INDEX(고양시_재차인원!$K$4:$O$20,MATCH("경기도",고양시_재차인원!$K$4:$K$20,0),MATCH('A.일산테크노밸리(859991)_수정'!DE$94,고양시_재차인원!$K$4:$O$4,0))</f>
        <v>68.505465096589077</v>
      </c>
      <c r="DF100" s="268">
        <f>INDEX($AO$93:$BB$106,MATCH($CW100,$L$93:$L$106,0),MATCH(DF$94,$AO$94:$BB$94,0))/INDEX(고양시_재차인원!$D$4:$H$35,MATCH("고양시",고양시_재차인원!$B$4:$B$35,0),MATCH('A.일산테크노밸리(859991)_수정'!$DF$93,고양시_재차인원!$D$4:$H$4,0))</f>
        <v>71.925472409005351</v>
      </c>
      <c r="DG100" s="267">
        <f>INDEX($AO$93:$BB$106,MATCH($CW100,$L$93:$L$106,0),MATCH(DG$94,$AO$94:$BB$94,0))/INDEX(고양시_재차인원!$K$4:$O$20,MATCH("경기도",고양시_재차인원!$K$4:$K$20,0),MATCH('A.일산테크노밸리(859991)_수정'!DG$94,고양시_재차인원!$K$4:$O$4,0))</f>
        <v>3.1023942714690318E-3</v>
      </c>
      <c r="DH100" s="267">
        <f>INDEX($AO$93:$BB$106,MATCH($CW100,$L$93:$L$106,0),MATCH(DH$94,$AO$94:$BB$94,0))/INDEX(고양시_재차인원!$K$4:$O$20,MATCH("경기도",고양시_재차인원!$K$4:$K$20,0),MATCH('A.일산테크노밸리(859991)_수정'!DH$94,고양시_재차인원!$K$4:$O$4,0))</f>
        <v>0.122766173313846</v>
      </c>
      <c r="DI100" s="267">
        <f>INDEX($AO$93:$BB$106,MATCH($CW100,$L$93:$L$106,0),MATCH(DI$94,$AO$94:$BB$94,0))/INDEX(고양시_재차인원!$K$4:$O$20,MATCH("경기도",고양시_재차인원!$K$4:$K$20,0),MATCH('A.일산테크노밸리(859991)_수정'!DI$94,고양시_재차인원!$K$4:$O$4,0))</f>
        <v>2.1691497546929832</v>
      </c>
      <c r="DJ100" s="268">
        <f>INDEX($BC$93:$BP$106,MATCH($CW100,$L$93:$L$106,0),MATCH(DJ$94,$BC$94:$BP$94,0))/INDEX(고양시_재차인원!$D$4:$H$35,MATCH("고양시",고양시_재차인원!$B$4:$B$35,0),MATCH('A.일산테크노밸리(859991)_수정'!$DJ$93,고양시_재차인원!$D$4:$H$4,0))</f>
        <v>0.122095544859982</v>
      </c>
      <c r="DK100" s="267">
        <f>INDEX($BC$93:$BP$106,MATCH($CW100,$L$93:$L$106,0),MATCH(DK$94,$BC$94:$BP$94,0))/INDEX(고양시_재차인원!$K$4:$O$20,MATCH("경기도",고양시_재차인원!$K$4:$K$20,0),MATCH('A.일산테크노밸리(859991)_수정'!DK$94,고양시_재차인원!$K$4:$O$4,0))</f>
        <v>3.6983567121530697E-4</v>
      </c>
      <c r="DL100" s="267">
        <f>INDEX($BC$93:$BP$106,MATCH($CW100,$L$93:$L$106,0),MATCH(DL$94,$BC$94:$BP$94,0))/INDEX(고양시_재차인원!$K$4:$O$20,MATCH("경기도",고양시_재차인원!$K$4:$K$20,0),MATCH('A.일산테크노밸리(859991)_수정'!DL$94,고양시_재차인원!$K$4:$O$4,0))</f>
        <v>2.4655711414353794E-4</v>
      </c>
      <c r="DM100" s="267">
        <f>INDEX($BC$93:$BP$106,MATCH($CW100,$L$93:$L$106,0),MATCH(DM$94,$BC$94:$BP$94,0))/INDEX(고양시_재차인원!$K$4:$O$20,MATCH("경기도",고양시_재차인원!$K$4:$K$20,0),MATCH('A.일산테크노밸리(859991)_수정'!DM$94,고양시_재차인원!$K$4:$O$4,0))</f>
        <v>1.0159638945962839E-3</v>
      </c>
      <c r="DN100" s="268">
        <f>INDEX($BQ$93:$CD$106,MATCH($CW100,$L$93:$L$106,0),MATCH(DN$94,$BQ$94:$CD$94,0))/INDEX(고양시_재차인원!$D$4:$H$35,MATCH("고양시",고양시_재차인원!$B$4:$B$35,0),MATCH('A.일산테크노밸리(859991)_수정'!$DN$93,고양시_재차인원!$D$4:$H$4,0))</f>
        <v>0.3684177620560527</v>
      </c>
      <c r="DO100" s="267">
        <f>INDEX($BQ$93:$CD$106,MATCH($CW100,$L$93:$L$106,0),MATCH(DO$94,$BQ$94:$CD$94,0))/INDEX(고양시_재차인원!$K$4:$O$20,MATCH("경기도",고양시_재차인원!$K$4:$K$20,0),MATCH('A.일산테크노밸리(859991)_수정'!DO$94,고양시_재차인원!$K$4:$O$4,0))</f>
        <v>1.470830041246735E-3</v>
      </c>
      <c r="DP100" s="267">
        <f>INDEX($BQ$93:$CD$106,MATCH($CW100,$L$93:$L$106,0),MATCH(DP$94,$BQ$94:$CD$94,0))/INDEX(고양시_재차인원!$K$4:$O$20,MATCH("경기도",고양시_재차인원!$K$4:$K$20,0),MATCH('A.일산테크노밸리(859991)_수정'!DP$94,고양시_재차인원!$K$4:$O$4,0))</f>
        <v>4.9124144669188807E-3</v>
      </c>
      <c r="DQ100" s="267">
        <f>INDEX($BQ$93:$CD$106,MATCH($CW100,$L$93:$L$106,0),MATCH(DQ$94,$BQ$94:$CD$94,0))/INDEX(고양시_재차인원!$K$4:$O$20,MATCH("경기도",고양시_재차인원!$K$4:$K$20,0),MATCH('A.일산테크노밸리(859991)_수정'!DQ$94,고양시_재차인원!$K$4:$O$4,0))</f>
        <v>3.5350790484490698E-4</v>
      </c>
      <c r="DR100" s="269">
        <f t="shared" si="60"/>
        <v>707.35472601760353</v>
      </c>
      <c r="DS100" s="270">
        <f t="shared" si="52"/>
        <v>6.0105454931890685E-3</v>
      </c>
      <c r="DT100" s="270">
        <f t="shared" si="53"/>
        <v>3.1131987509075594</v>
      </c>
      <c r="DU100" s="270">
        <f t="shared" si="54"/>
        <v>76.863543095804417</v>
      </c>
      <c r="DW100" s="278"/>
      <c r="DX100" s="278" t="s">
        <v>593</v>
      </c>
      <c r="DY100" s="281">
        <f t="shared" si="61"/>
        <v>784.21826911340793</v>
      </c>
      <c r="DZ100" s="281">
        <f t="shared" si="62"/>
        <v>3.1192092964007485</v>
      </c>
      <c r="EC100" s="412" t="s">
        <v>15</v>
      </c>
      <c r="ED100" s="412" t="s">
        <v>571</v>
      </c>
      <c r="EE100" s="412">
        <v>10713.892900000001</v>
      </c>
      <c r="EF100" s="412">
        <v>4.9759499124587728E-2</v>
      </c>
      <c r="EG100" s="413">
        <v>859007</v>
      </c>
      <c r="EH100" s="414">
        <f t="shared" si="55"/>
        <v>409.70952809440246</v>
      </c>
      <c r="EI100" s="415">
        <f t="shared" si="56"/>
        <v>1.6296097900152502</v>
      </c>
      <c r="EJ100" s="402">
        <v>0</v>
      </c>
      <c r="EM100" s="278" t="s">
        <v>15</v>
      </c>
      <c r="EN100" s="278" t="s">
        <v>571</v>
      </c>
      <c r="EO100" s="278">
        <v>10713.892900000001</v>
      </c>
      <c r="EP100" s="278">
        <v>4.9759499124587728E-2</v>
      </c>
      <c r="EQ100" s="289">
        <v>859007</v>
      </c>
      <c r="ER100" s="290">
        <f t="shared" si="37"/>
        <v>409.70952809440246</v>
      </c>
      <c r="ES100" s="291">
        <f t="shared" si="38"/>
        <v>1.6296097900152502</v>
      </c>
      <c r="ET100" s="402">
        <v>0</v>
      </c>
      <c r="EV100" s="34"/>
      <c r="EW100" s="34"/>
      <c r="EX100" s="34"/>
      <c r="EY100" s="34"/>
      <c r="EZ100" s="378"/>
      <c r="FA100" s="401"/>
      <c r="FB100" s="402"/>
      <c r="FC100" s="402"/>
    </row>
    <row r="101" spans="1:159" ht="37.5">
      <c r="A101" s="205" t="s">
        <v>491</v>
      </c>
      <c r="B101" s="203" t="s">
        <v>489</v>
      </c>
      <c r="C101" s="400">
        <f>'A.일산테크노밸리(859991)_수정'!$P34*KTDB_TripDistribution_2035!T$12 * (1+KTDB_발생량도착량_증가율!$D$8 *5) * (1+KTDB_발생량도착량_증가율!$E$8 *5)</f>
        <v>91.145285461937334</v>
      </c>
      <c r="D101" s="400">
        <f>'A.일산테크노밸리(859991)_수정'!$P34*KTDB_TripDistribution_2035!U$12 * (1+KTDB_발생량도착량_증가율!$D$8 *5) * (1+KTDB_발생량도착량_증가율!$E$8 *5)</f>
        <v>659.63707754568816</v>
      </c>
      <c r="E101" s="400">
        <f>'A.일산테크노밸리(859991)_수정'!$P34*KTDB_TripDistribution_2035!V$12 * (1+KTDB_발생량도착량_증가율!$D$8 *5) * (1+KTDB_발생량도착량_증가율!$E$8 *5)</f>
        <v>37.841746399921419</v>
      </c>
      <c r="F101" s="400">
        <f>'A.일산테크노밸리(859991)_수정'!$P34*KTDB_TripDistribution_2035!W$12 * (1+KTDB_발생량도착량_증가율!$D$8 *5) * (1+KTDB_발생량도착량_증가율!$E$8 *5)</f>
        <v>5.9468433315748456E-2</v>
      </c>
      <c r="G101" s="400">
        <f>'A.일산테크노밸리(859991)_수정'!$P34*KTDB_TripDistribution_2035!X$12 * (1+KTDB_발생량도착량_증가율!$D$8 *5) * (1+KTDB_발생량도착량_증가율!$E$8 *5)</f>
        <v>0.22465852585949486</v>
      </c>
      <c r="H101" s="400">
        <f>'A.일산테크노밸리(859991)_수정'!$P34*KTDB_TripDistribution_2035!Y$12 * (1+KTDB_발생량도착량_증가율!$D$8 *5) * (1+KTDB_발생량도착량_증가율!$E$8 *5)</f>
        <v>788.90823636672235</v>
      </c>
      <c r="J101" s="230">
        <f t="shared" si="57"/>
        <v>788.90823636672212</v>
      </c>
      <c r="K101" s="206" t="s">
        <v>433</v>
      </c>
      <c r="L101" s="210" t="s">
        <v>484</v>
      </c>
      <c r="M101" s="213">
        <f>INDEX($A$94:$H$106,MATCH($L101,$B$94:$B$106,0),MATCH($M$93,$A$94:$H$94,0))*고양시_Modal_split!C$3 * 0.01</f>
        <v>0.25520679929342449</v>
      </c>
      <c r="N101" s="213">
        <f>INDEX($A$94:$H$106,MATCH($L101,$B$94:$B$106,0),MATCH($M$93,$A$94:$H$94,0))*고양시_Modal_split!D$3 * 0.01</f>
        <v>42.865627752749134</v>
      </c>
      <c r="O101" s="213">
        <f>INDEX($A$94:$H$106,MATCH($L101,$B$94:$B$106,0),MATCH($M$93,$A$94:$H$94,0))*고양시_Modal_split!E$3 * 0.01</f>
        <v>5.1861667427842342</v>
      </c>
      <c r="P101" s="213">
        <f>INDEX($A$94:$H$106,MATCH($L101,$B$94:$B$106,0),MATCH($M$93,$A$94:$H$94,0))*고양시_Modal_split!F$3 * 0.01</f>
        <v>8.3580226768596546</v>
      </c>
      <c r="Q101" s="213">
        <f>INDEX($A$94:$H$106,MATCH($L101,$B$94:$B$106,0),MATCH($M$93,$A$94:$H$94,0))*고양시_Modal_split!G$3 * 0.01</f>
        <v>0.83853662624982339</v>
      </c>
      <c r="R101" s="213">
        <f>INDEX($A$94:$H$106,MATCH($L101,$B$94:$B$106,0),MATCH($M$93,$A$94:$H$94,0))*고양시_Modal_split!H$3 * 0.01</f>
        <v>9.1145285461937328E-3</v>
      </c>
      <c r="S101" s="213">
        <f>INDEX($A$94:$H$106,MATCH($L101,$B$94:$B$106,0),MATCH($M$93,$A$94:$H$94,0))*고양시_Modal_split!I$3 * 0.01</f>
        <v>2.533838935841858</v>
      </c>
      <c r="T101" s="213">
        <f>INDEX($A$94:$H$106,MATCH($L101,$B$94:$B$106,0),MATCH($M$93,$A$94:$H$94,0))*고양시_Modal_split!J$3 * 0.01</f>
        <v>27.744624894613725</v>
      </c>
      <c r="U101" s="213">
        <f>INDEX($A$94:$H$106,MATCH($L101,$B$94:$B$106,0),MATCH($M$93,$A$94:$H$94,0))*고양시_Modal_split!K$3 * 0.01</f>
        <v>0.13671792819290601</v>
      </c>
      <c r="V101" s="213">
        <f>INDEX($A$94:$H$106,MATCH($L101,$B$94:$B$106,0),MATCH($M$93,$A$94:$H$94,0))*고양시_Modal_split!L$3 * 0.01</f>
        <v>2.7525876209505076</v>
      </c>
      <c r="W101" s="213">
        <f>INDEX($A$94:$H$106,MATCH($L101,$B$94:$B$106,0),MATCH($M$93,$A$94:$H$94,0))*고양시_Modal_split!M$3 * 0.01</f>
        <v>0.20963415656245585</v>
      </c>
      <c r="X101" s="213">
        <f>INDEX($A$94:$H$106,MATCH($L101,$B$94:$B$106,0),MATCH($M$93,$A$94:$H$94,0))*고양시_Modal_split!N$3 * 0.01</f>
        <v>9.1145285461937342E-2</v>
      </c>
      <c r="Y101" s="213">
        <f>INDEX($A$94:$H$106,MATCH($L101,$B$94:$B$106,0),MATCH($M$93,$A$94:$H$94,0))*고양시_Modal_split!O$3 * 0.01</f>
        <v>0.1640615138314872</v>
      </c>
      <c r="Z101" s="213">
        <f>INDEX($A$94:$H$106,MATCH($L101,$B$94:$B$106,0),MATCH($M$93,$A$94:$H$94,0))*고양시_Modal_split!P$3 * 0.01</f>
        <v>91.145285461937334</v>
      </c>
      <c r="AA101" s="213">
        <f>INDEX($A$94:$H$106,MATCH($L101,$B$94:$B$106,0),MATCH($AA$93,$A$94:$H$94,0))*고양시_Modal_split!C$4 * 0.01</f>
        <v>200.79352640490751</v>
      </c>
      <c r="AB101" s="213">
        <f>INDEX($A$94:$H$106,MATCH($L101,$B$94:$B$106,0),MATCH($AA$93,$A$94:$H$94,0))*고양시_Modal_split!D$4 * 0.01</f>
        <v>211.54561076890218</v>
      </c>
      <c r="AC101" s="213">
        <f>INDEX($A$94:$H$106,MATCH($L101,$B$94:$B$106,0),MATCH($AA$93,$A$94:$H$94,0))*고양시_Modal_split!E$4 * 0.01</f>
        <v>51.253800925299977</v>
      </c>
      <c r="AD101" s="213">
        <f>INDEX($A$94:$H$106,MATCH($L101,$B$94:$B$106,0),MATCH($AA$93,$A$94:$H$94,0))*고양시_Modal_split!F$4 * 0.01</f>
        <v>6.2665522366840367</v>
      </c>
      <c r="AE101" s="213">
        <f>INDEX($A$94:$H$106,MATCH($L101,$B$94:$B$106,0),MATCH($AA$93,$A$94:$H$94,0))*고양시_Modal_split!G$4 * 0.01</f>
        <v>77.243501780600084</v>
      </c>
      <c r="AF101" s="213">
        <f>INDEX($A$94:$H$106,MATCH($L101,$B$94:$B$106,0),MATCH($AA$93,$A$94:$H$94,0))*고양시_Modal_split!H$4 * 0.01</f>
        <v>0</v>
      </c>
      <c r="AG101" s="213">
        <f>INDEX($A$94:$H$106,MATCH($L101,$B$94:$B$106,0),MATCH($AA$93,$A$94:$H$94,0))*고양시_Modal_split!I$4 * 0.01</f>
        <v>22.955370298589948</v>
      </c>
      <c r="AH101" s="213">
        <f>INDEX($A$94:$H$106,MATCH($L101,$B$94:$B$106,0),MATCH($AA$93,$A$94:$H$94,0))*고양시_Modal_split!J$4 * 0.01</f>
        <v>31.068906352401914</v>
      </c>
      <c r="AI101" s="213">
        <f>INDEX($A$94:$H$106,MATCH($L101,$B$94:$B$106,0),MATCH($AA$93,$A$94:$H$94,0))*고양시_Modal_split!K$4 * 0.01</f>
        <v>0</v>
      </c>
      <c r="AJ101" s="213">
        <f>INDEX($A$94:$H$106,MATCH($L101,$B$94:$B$106,0),MATCH($AA$93,$A$94:$H$94,0))*고양시_Modal_split!L$4 * 0.01</f>
        <v>30.475232982610791</v>
      </c>
      <c r="AK101" s="213">
        <f>INDEX($A$94:$H$106,MATCH($L101,$B$94:$B$106,0),MATCH($AA$93,$A$94:$H$94,0))*고양시_Modal_split!M$4 * 0.01</f>
        <v>4.4195684195561107</v>
      </c>
      <c r="AL101" s="213">
        <f>INDEX($A$94:$H$106,MATCH($L101,$B$94:$B$106,0),MATCH($AA$93,$A$94:$H$94,0))*고양시_Modal_split!N$4 * 0.01</f>
        <v>16.490926938642204</v>
      </c>
      <c r="AM101" s="213">
        <f>INDEX($A$94:$H$106,MATCH($L101,$B$94:$B$106,0),MATCH($AA$93,$A$94:$H$94,0))*고양시_Modal_split!O$4 * 0.01</f>
        <v>7.1240804374934328</v>
      </c>
      <c r="AN101" s="213">
        <f>INDEX($A$94:$H$106,MATCH($L101,$B$94:$B$106,0),MATCH($AA$93,$A$94:$H$94,0))*고양시_Modal_split!P$4 * 0.01</f>
        <v>659.63707754568827</v>
      </c>
      <c r="AO101" s="213">
        <f>INDEX($A$94:$H$106,MATCH($L101,$B$94:$B$106,0),MATCH($AO$93,$A$94:$H$94,0))*고양시_Modal_split!C$5 * 0.01</f>
        <v>2.2705047839952849E-2</v>
      </c>
      <c r="AP101" s="213">
        <f>INDEX($A$94:$H$106,MATCH($L101,$B$94:$B$106,0),MATCH($AO$93,$A$94:$H$94,0))*고양시_Modal_split!D$5 * 0.01</f>
        <v>27.730431761862416</v>
      </c>
      <c r="AQ101" s="213">
        <f>INDEX($A$94:$H$106,MATCH($L101,$B$94:$B$106,0),MATCH($AO$93,$A$94:$H$94,0))*고양시_Modal_split!E$5 * 0.01</f>
        <v>3.7274120203922601</v>
      </c>
      <c r="AR101" s="213">
        <f>INDEX($A$94:$H$106,MATCH($L101,$B$94:$B$106,0),MATCH($AO$93,$A$94:$H$94,0))*고양시_Modal_split!F$5 * 0.01</f>
        <v>0.79467667439834988</v>
      </c>
      <c r="AS101" s="213">
        <f>INDEX($A$94:$H$106,MATCH($L101,$B$94:$B$106,0),MATCH($AO$93,$A$94:$H$94,0))*고양시_Modal_split!G$5 * 0.01</f>
        <v>0.24597135159948924</v>
      </c>
      <c r="AT101" s="213">
        <f>INDEX($A$94:$H$106,MATCH($L101,$B$94:$B$106,0),MATCH($AO$93,$A$94:$H$94,0))*고양시_Modal_split!H$5 * 0.01</f>
        <v>2.648922247994499E-2</v>
      </c>
      <c r="AU101" s="213">
        <f>INDEX($A$94:$H$106,MATCH($L101,$B$94:$B$106,0),MATCH($AO$93,$A$94:$H$94,0))*고양시_Modal_split!I$5 * 0.01</f>
        <v>1.0482163752778233</v>
      </c>
      <c r="AV101" s="213">
        <f>INDEX($A$94:$H$106,MATCH($L101,$B$94:$B$106,0),MATCH($AO$93,$A$94:$H$94,0))*고양시_Modal_split!J$5 * 0.01</f>
        <v>2.3726774992750732</v>
      </c>
      <c r="AW101" s="213">
        <f>INDEX($A$94:$H$106,MATCH($L101,$B$94:$B$106,0),MATCH($AO$93,$A$94:$H$94,0))*고양시_Modal_split!K$5 * 0.01</f>
        <v>7.5683492799842843E-3</v>
      </c>
      <c r="AX101" s="213">
        <f>INDEX($A$94:$H$106,MATCH($L101,$B$94:$B$106,0),MATCH($AO$93,$A$94:$H$94,0))*고양시_Modal_split!L$5 * 0.01</f>
        <v>0.96496453319799613</v>
      </c>
      <c r="AY101" s="213">
        <f>INDEX($A$94:$H$106,MATCH($L101,$B$94:$B$106,0),MATCH($AO$93,$A$94:$H$94,0))*고양시_Modal_split!M$5 * 0.01</f>
        <v>0.25353970087947353</v>
      </c>
      <c r="AZ101" s="213">
        <f>INDEX($A$94:$H$106,MATCH($L101,$B$94:$B$106,0),MATCH($AO$93,$A$94:$H$94,0))*고양시_Modal_split!N$5 * 0.01</f>
        <v>6.4330968879866404E-2</v>
      </c>
      <c r="BA101" s="213">
        <f>INDEX($A$94:$H$106,MATCH($L101,$B$94:$B$106,0),MATCH($AO$93,$A$94:$H$94,0))*고양시_Modal_split!O$5 * 0.01</f>
        <v>0.58276289455878993</v>
      </c>
      <c r="BB101" s="213">
        <f>INDEX($A$94:$H$106,MATCH($L101,$B$94:$B$106,0),MATCH($AO$93,$A$94:$H$94,0))*고양시_Modal_split!P$5 * 0.01</f>
        <v>37.841746399921412</v>
      </c>
      <c r="BC101" s="213">
        <f>INDEX($A$94:$H$106,MATCH($L101,$B$94:$B$106,0),MATCH($BC$93,$A$94:$H$94,0))*고양시_Modal_split!C$6 * 0.01</f>
        <v>0</v>
      </c>
      <c r="BD101" s="207">
        <f>INDEX($A$94:$H$106,MATCH($L101,$B$94:$B$106,0),MATCH($BC$93,$A$94:$H$94,0))*고양시_Modal_split!D$6 * 0.01</f>
        <v>4.9245809628771287E-2</v>
      </c>
      <c r="BE101" s="207">
        <f>INDEX($A$94:$H$106,MATCH($L101,$B$94:$B$106,0),MATCH($BC$93,$A$94:$H$94,0))*고양시_Modal_split!E$6 * 0.01</f>
        <v>2.5571426325771834E-4</v>
      </c>
      <c r="BF101" s="207">
        <f>INDEX($A$94:$H$106,MATCH($L101,$B$94:$B$106,0),MATCH($BC$93,$A$94:$H$94,0))*고양시_Modal_split!F$6 * 0.01</f>
        <v>7.2551488645213123E-4</v>
      </c>
      <c r="BG101" s="207">
        <f>INDEX($A$94:$H$106,MATCH($L101,$B$94:$B$106,0),MATCH($BC$93,$A$94:$H$94,0))*고양시_Modal_split!G$6 * 0.01</f>
        <v>0</v>
      </c>
      <c r="BH101" s="207">
        <f>INDEX($A$94:$H$106,MATCH($L101,$B$94:$B$106,0),MATCH($BC$93,$A$94:$H$94,0))*고양시_Modal_split!H$6 * 0.01</f>
        <v>3.1577738090662433E-3</v>
      </c>
      <c r="BI101" s="207">
        <f>INDEX($A$94:$H$106,MATCH($L101,$B$94:$B$106,0),MATCH($BC$93,$A$94:$H$94,0))*고양시_Modal_split!I$6 * 0.01</f>
        <v>2.1051825393774955E-3</v>
      </c>
      <c r="BJ101" s="207">
        <f>INDEX($A$94:$H$106,MATCH($L101,$B$94:$B$106,0),MATCH($BC$93,$A$94:$H$94,0))*고양시_Modal_split!J$6 * 0.01</f>
        <v>2.9377406057979733E-3</v>
      </c>
      <c r="BK101" s="207">
        <f>INDEX($A$94:$H$106,MATCH($L101,$B$94:$B$106,0),MATCH($BC$93,$A$94:$H$94,0))*고양시_Modal_split!K$6 * 0.01</f>
        <v>0</v>
      </c>
      <c r="BL101" s="207">
        <f>INDEX($A$94:$H$106,MATCH($L101,$B$94:$B$106,0),MATCH($BC$93,$A$94:$H$94,0))*고양시_Modal_split!L$6 * 0.01</f>
        <v>4.5196009319968826E-4</v>
      </c>
      <c r="BM101" s="207">
        <f>INDEX($A$94:$H$106,MATCH($L101,$B$94:$B$106,0),MATCH($BC$93,$A$94:$H$94,0))*고양시_Modal_split!M$6 * 0.01</f>
        <v>5.4116274317331096E-4</v>
      </c>
      <c r="BN101" s="207">
        <f>INDEX($A$94:$H$106,MATCH($L101,$B$94:$B$106,0),MATCH($BC$93,$A$94:$H$94,0))*고양시_Modal_split!N$6 * 0.01</f>
        <v>0</v>
      </c>
      <c r="BO101" s="207">
        <f>INDEX($A$94:$H$106,MATCH($L101,$B$94:$B$106,0),MATCH($BC$93,$A$94:$H$94,0))*고양시_Modal_split!O$6 * 0.01</f>
        <v>4.7574746652598773E-5</v>
      </c>
      <c r="BP101" s="214">
        <f>INDEX($A$94:$H$106,MATCH($L101,$B$94:$B$106,0),MATCH($BC$93,$A$94:$H$94,0))*고양시_Modal_split!P$6 * 0.01</f>
        <v>5.9468433315748456E-2</v>
      </c>
      <c r="BQ101" s="213">
        <f>INDEX($A$94:$H$106,MATCH($L101,$B$94:$B$106,0),MATCH($BQ$93,$A$94:$H$94,0))*고양시_Modal_split!C$7 * 0.01</f>
        <v>0</v>
      </c>
      <c r="BR101" s="213">
        <f>INDEX($A$94:$H$106,MATCH($L101,$B$94:$B$106,0),MATCH($BQ$93,$A$94:$H$94,0))*고양시_Modal_split!D$7 * 0.01</f>
        <v>0.13767074464669846</v>
      </c>
      <c r="BS101" s="213">
        <f>INDEX($A$94:$H$106,MATCH($L101,$B$94:$B$106,0),MATCH($BQ$93,$A$94:$H$94,0))*고양시_Modal_split!E$7 * 0.01</f>
        <v>6.7172899231988962E-3</v>
      </c>
      <c r="BT101" s="213">
        <f>INDEX($A$94:$H$106,MATCH($L101,$B$94:$B$106,0),MATCH($BQ$93,$A$94:$H$94,0))*고양시_Modal_split!F$7 * 0.01</f>
        <v>2.2465852585949486E-3</v>
      </c>
      <c r="BU101" s="213">
        <f>INDEX($A$94:$H$106,MATCH($L101,$B$94:$B$106,0),MATCH($BQ$93,$A$94:$H$94,0))*고양시_Modal_split!G$7 * 0.01</f>
        <v>9.4356580860987832E-4</v>
      </c>
      <c r="BV101" s="213">
        <f>INDEX($A$94:$H$106,MATCH($L101,$B$94:$B$106,0),MATCH($BQ$93,$A$94:$H$94,0))*고양시_Modal_split!H$7 * 0.01</f>
        <v>1.2558411595545762E-2</v>
      </c>
      <c r="BW101" s="213">
        <f>INDEX($A$94:$H$106,MATCH($L101,$B$94:$B$106,0),MATCH($BQ$93,$A$94:$H$94,0))*고양시_Modal_split!I$7 * 0.01</f>
        <v>4.1943746777967694E-2</v>
      </c>
      <c r="BX101" s="213">
        <f>INDEX($A$94:$H$106,MATCH($L101,$B$94:$B$106,0),MATCH($BQ$93,$A$94:$H$94,0))*고양시_Modal_split!J$7 * 0.01</f>
        <v>4.4931705171898969E-5</v>
      </c>
      <c r="BY101" s="213">
        <f>INDEX($A$94:$H$106,MATCH($L101,$B$94:$B$106,0),MATCH($BQ$93,$A$94:$H$94,0))*고양시_Modal_split!K$7 * 0.01</f>
        <v>1.7298706491181103E-2</v>
      </c>
      <c r="BZ101" s="213">
        <f>INDEX($A$94:$H$106,MATCH($L101,$B$94:$B$106,0),MATCH($BQ$93,$A$94:$H$94,0))*고양시_Modal_split!L$7 * 0.01</f>
        <v>1.572609681016464E-4</v>
      </c>
      <c r="CA101" s="213">
        <f>INDEX($A$94:$H$106,MATCH($L101,$B$94:$B$106,0),MATCH($BQ$93,$A$94:$H$94,0))*고양시_Modal_split!M$7 * 0.01</f>
        <v>4.2011144335725543E-3</v>
      </c>
      <c r="CB101" s="213">
        <f>INDEX($A$94:$H$106,MATCH($L101,$B$94:$B$106,0),MATCH($BQ$93,$A$94:$H$94,0))*고양시_Modal_split!N$7 * 0.01</f>
        <v>8.7616825085202999E-4</v>
      </c>
      <c r="CC101" s="213">
        <f>INDEX($A$94:$H$106,MATCH($L101,$B$94:$B$106,0),MATCH($BQ$93,$A$94:$H$94,0))*고양시_Modal_split!O$7 * 0.01</f>
        <v>0</v>
      </c>
      <c r="CD101" s="213">
        <f>INDEX($A$94:$H$106,MATCH($L101,$B$94:$B$106,0),MATCH($BQ$93,$A$94:$H$94,0))*고양시_Modal_split!P$7 * 0.01</f>
        <v>0.22465852585949486</v>
      </c>
      <c r="CE101" s="218">
        <f t="shared" si="58"/>
        <v>201.07143825204091</v>
      </c>
      <c r="CF101" s="208">
        <f t="shared" si="39"/>
        <v>282.3285868377892</v>
      </c>
      <c r="CG101" s="208">
        <f t="shared" si="40"/>
        <v>60.174352692662929</v>
      </c>
      <c r="CH101" s="208">
        <f t="shared" si="41"/>
        <v>15.422223688087088</v>
      </c>
      <c r="CI101" s="208">
        <f t="shared" si="42"/>
        <v>78.328953324258009</v>
      </c>
      <c r="CJ101" s="208">
        <f t="shared" si="43"/>
        <v>5.1319936430750723E-2</v>
      </c>
      <c r="CK101" s="208">
        <f t="shared" si="44"/>
        <v>26.581474539026974</v>
      </c>
      <c r="CL101" s="208">
        <f t="shared" si="45"/>
        <v>61.189191418601673</v>
      </c>
      <c r="CM101" s="208">
        <f t="shared" si="46"/>
        <v>0.16158498396407139</v>
      </c>
      <c r="CN101" s="208">
        <f t="shared" si="47"/>
        <v>34.193394357820601</v>
      </c>
      <c r="CO101" s="208">
        <f t="shared" si="48"/>
        <v>4.8874845541747867</v>
      </c>
      <c r="CP101" s="208">
        <f t="shared" si="49"/>
        <v>16.647279361234858</v>
      </c>
      <c r="CQ101" s="208">
        <f t="shared" si="50"/>
        <v>7.8709524206303616</v>
      </c>
      <c r="CR101" s="219">
        <f t="shared" si="51"/>
        <v>788.90823636672212</v>
      </c>
      <c r="CS101" s="225">
        <f t="shared" si="59"/>
        <v>0</v>
      </c>
      <c r="CV101" s="265" t="s">
        <v>433</v>
      </c>
      <c r="CW101" s="271" t="s">
        <v>484</v>
      </c>
      <c r="CX101" s="267">
        <f>INDEX($M$93:$Z$106,MATCH($CW101,$L$93:$L$106,0),MATCH(CX$94,$M$94:$Z$94,0))/INDEX(고양시_재차인원!$D$4:$H$35,MATCH("고양시",고양시_재차인원!$B$4:$B$35,0),MATCH('A.일산테크노밸리(859991)_수정'!$CX$93,고양시_재차인원!$D$4:$H$4,0))</f>
        <v>38.27288192209744</v>
      </c>
      <c r="CY101" s="267">
        <f>INDEX($M$93:$Z$106,MATCH($CW101,$L$93:$L$106,0),MATCH(CY$94,$M$94:$Z$94,0))/INDEX(고양시_재차인원!$K$4:$O$20,MATCH("경기도",고양시_재차인원!$K$4:$K$20,0),MATCH('A.일산테크노밸리(859991)_수정'!CY$94,고양시_재차인원!$K$4:$O$4,0))</f>
        <v>3.1658661153851107E-4</v>
      </c>
      <c r="CZ101" s="267">
        <f>INDEX($M$93:$Z$106,MATCH($CW101,$L$93:$L$106,0),MATCH(CZ$94,$M$94:$Z$94,0))/INDEX(고양시_재차인원!$K$4:$O$20,MATCH("경기도",고양시_재차인원!$K$4:$K$20,0),MATCH('A.일산테크노밸리(859991)_수정'!CZ$94,고양시_재차인원!$K$4:$O$4,0))</f>
        <v>8.8011078007706078E-2</v>
      </c>
      <c r="DA101" s="267">
        <f>INDEX($M$93:$Z$106,MATCH($CW101,$L$93:$L$106,0),MATCH(DA$94,$M$94:$Z$94,0))/INDEX(고양시_재차인원!$K$4:$O$20,MATCH("경기도",고양시_재차인원!$K$4:$K$20,0),MATCH('A.일산테크노밸리(859991)_수정'!DA$94,고양시_재차인원!$K$4:$O$4,0))</f>
        <v>1.835058413967005</v>
      </c>
      <c r="DB101" s="268">
        <f>INDEX($AA$93:$AN$106,MATCH($CW101,$L$93:$L$106,0),MATCH(DB$94,$AA$94:$AN$94,0))/INDEX(고양시_재차인원!$D$4:$H$35,MATCH("고양시",고양시_재차인원!$B$4:$B$35,0),MATCH('A.일산테크노밸리(859991)_수정'!$DB$93,고양시_재차인원!$D$4:$H$4,0))</f>
        <v>150.03234806305119</v>
      </c>
      <c r="DC101" s="267">
        <f>INDEX($AA$93:$AN$106,MATCH($CW101,$L$93:$L$106,0),MATCH(DC$94,$AA$94:$AN$94,0))/INDEX(고양시_재차인원!$K$4:$O$20,MATCH("경기도",고양시_재차인원!$K$4:$K$20,0),MATCH('A.일산테크노밸리(859991)_수정'!DC$94,고양시_재차인원!$K$4:$O$4,0))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1" s="267">
        <f>INDEX($AA$93:$AN$106,MATCH($CW101,$L$93:$L$106,0),MATCH(DD$94,$AA$94:$AN$94,0))/INDEX(고양시_재차인원!$K$4:$O$20,MATCH("경기도",고양시_재차인원!$K$4:$K$20,0),MATCH('A.일산테크노밸리(859991)_수정'!DD$94,고양시_재차인원!$K$4:$O$4,0))</f>
        <v>0.79733832228516666</v>
      </c>
      <c r="DE101" s="267">
        <f>INDEX($AA$93:$AN$106,MATCH($CW101,$L$93:$L$106,0),MATCH(DE$94,$AA$94:$AN$94,0))/INDEX(고양시_재차인원!$K$4:$O$20,MATCH("경기도",고양시_재차인원!$K$4:$K$20,0),MATCH('A.일산테크노밸리(859991)_수정'!DE$94,고양시_재차인원!$K$4:$O$4,0))</f>
        <v>20.316821988407195</v>
      </c>
      <c r="DF101" s="268">
        <f>INDEX($AO$93:$BB$106,MATCH($CW101,$L$93:$L$106,0),MATCH(DF$94,$AO$94:$BB$94,0))/INDEX(고양시_재차인원!$D$4:$H$35,MATCH("고양시",고양시_재차인원!$B$4:$B$35,0),MATCH('A.일산테크노밸리(859991)_수정'!$DF$93,고양시_재차인원!$D$4:$H$4,0))</f>
        <v>21.331101355278779</v>
      </c>
      <c r="DG101" s="267">
        <f>INDEX($AO$93:$BB$106,MATCH($CW101,$L$93:$L$106,0),MATCH(DG$94,$AO$94:$BB$94,0))/INDEX(고양시_재차인원!$K$4:$O$20,MATCH("경기도",고양시_재차인원!$K$4:$K$20,0),MATCH('A.일산테크노밸리(859991)_수정'!DG$94,고양시_재차인원!$K$4:$O$4,0))</f>
        <v>9.2008414310333414E-4</v>
      </c>
      <c r="DH101" s="267">
        <f>INDEX($AO$93:$BB$106,MATCH($CW101,$L$93:$L$106,0),MATCH(DH$94,$AO$94:$BB$94,0))/INDEX(고양시_재차인원!$K$4:$O$20,MATCH("경기도",고양시_재차인원!$K$4:$K$20,0),MATCH('A.일산테크노밸리(859991)_수정'!DH$94,고양시_재차인원!$K$4:$O$4,0))</f>
        <v>3.6409043948517655E-2</v>
      </c>
      <c r="DI101" s="267">
        <f>INDEX($AO$93:$BB$106,MATCH($CW101,$L$93:$L$106,0),MATCH(DI$94,$AO$94:$BB$94,0))/INDEX(고양시_재차인원!$K$4:$O$20,MATCH("경기도",고양시_재차인원!$K$4:$K$20,0),MATCH('A.일산테크노밸리(859991)_수정'!DI$94,고양시_재차인원!$K$4:$O$4,0))</f>
        <v>0.64330968879866413</v>
      </c>
      <c r="DJ101" s="268">
        <f>INDEX($BC$93:$BP$106,MATCH($CW101,$L$93:$L$106,0),MATCH(DJ$94,$BC$94:$BP$94,0))/INDEX(고양시_재차인원!$D$4:$H$35,MATCH("고양시",고양시_재차인원!$B$4:$B$35,0),MATCH('A.일산테크노밸리(859991)_수정'!$DJ$93,고양시_재차인원!$D$4:$H$4,0))</f>
        <v>3.6210154138802415E-2</v>
      </c>
      <c r="DK101" s="267">
        <f>INDEX($BC$93:$BP$106,MATCH($CW101,$L$93:$L$106,0),MATCH(DK$94,$BC$94:$BP$94,0))/INDEX(고양시_재차인원!$K$4:$O$20,MATCH("경기도",고양시_재차인원!$K$4:$K$20,0),MATCH('A.일산테크노밸리(859991)_수정'!DK$94,고양시_재차인원!$K$4:$O$4,0))</f>
        <v>1.0968300830379449E-4</v>
      </c>
      <c r="DL101" s="267">
        <f>INDEX($BC$93:$BP$106,MATCH($CW101,$L$93:$L$106,0),MATCH(DL$94,$BC$94:$BP$94,0))/INDEX(고양시_재차인원!$K$4:$O$20,MATCH("경기도",고양시_재차인원!$K$4:$K$20,0),MATCH('A.일산테크노밸리(859991)_수정'!DL$94,고양시_재차인원!$K$4:$O$4,0))</f>
        <v>7.3122005535862996E-5</v>
      </c>
      <c r="DM101" s="267">
        <f>INDEX($BC$93:$BP$106,MATCH($CW101,$L$93:$L$106,0),MATCH(DM$94,$BC$94:$BP$94,0))/INDEX(고양시_재차인원!$K$4:$O$20,MATCH("경기도",고양시_재차인원!$K$4:$K$20,0),MATCH('A.일산테크노밸리(859991)_수정'!DM$94,고양시_재차인원!$K$4:$O$4,0))</f>
        <v>3.0130672879979215E-4</v>
      </c>
      <c r="DN101" s="268">
        <f>INDEX($BQ$93:$CD$106,MATCH($CW101,$L$93:$L$106,0),MATCH(DN$94,$BQ$94:$CD$94,0))/INDEX(고양시_재차인원!$D$4:$H$35,MATCH("고양시",고양시_재차인원!$B$4:$B$35,0),MATCH('A.일산테크노밸리(859991)_수정'!$DN$93,고양시_재차인원!$D$4:$H$4,0))</f>
        <v>0.10926249575134798</v>
      </c>
      <c r="DO101" s="267">
        <f>INDEX($BQ$93:$CD$106,MATCH($CW101,$L$93:$L$106,0),MATCH(DO$94,$BQ$94:$CD$94,0))/INDEX(고양시_재차인원!$K$4:$O$20,MATCH("경기도",고양시_재차인원!$K$4:$K$20,0),MATCH('A.일산테크노밸리(859991)_수정'!DO$94,고양시_재차인원!$K$4:$O$4,0))</f>
        <v>4.3620741908807791E-4</v>
      </c>
      <c r="DP101" s="267">
        <f>INDEX($BQ$93:$CD$106,MATCH($CW101,$L$93:$L$106,0),MATCH(DP$94,$BQ$94:$CD$94,0))/INDEX(고양시_재차인원!$K$4:$O$20,MATCH("경기도",고양시_재차인원!$K$4:$K$20,0),MATCH('A.일산테크노밸리(859991)_수정'!DP$94,고양시_재차인원!$K$4:$O$4,0))</f>
        <v>1.4568859596376415E-3</v>
      </c>
      <c r="DQ101" s="267">
        <f>INDEX($BQ$93:$CD$106,MATCH($CW101,$L$93:$L$106,0),MATCH(DQ$94,$BQ$94:$CD$94,0))/INDEX(고양시_재차인원!$K$4:$O$20,MATCH("경기도",고양시_재차인원!$K$4:$K$20,0),MATCH('A.일산테크노밸리(859991)_수정'!DQ$94,고양시_재차인원!$K$4:$O$4,0))</f>
        <v>1.048406454010976E-4</v>
      </c>
      <c r="DR101" s="269">
        <f t="shared" si="60"/>
        <v>209.78180399031757</v>
      </c>
      <c r="DS101" s="270">
        <f t="shared" si="52"/>
        <v>1.7825611820337175E-3</v>
      </c>
      <c r="DT101" s="270">
        <f t="shared" si="53"/>
        <v>0.92328845220656397</v>
      </c>
      <c r="DU101" s="270">
        <f t="shared" si="54"/>
        <v>22.795596238547066</v>
      </c>
      <c r="DW101" s="278"/>
      <c r="DX101" s="278" t="s">
        <v>596</v>
      </c>
      <c r="DY101" s="281">
        <f>SUM(DR101:DR103)+SUM(DU101:DU103)</f>
        <v>1006.8614587797333</v>
      </c>
      <c r="DZ101" s="281">
        <f>SUM(DS101:DS103)+SUM(DT101:DT103)</f>
        <v>4.0047672263028984</v>
      </c>
      <c r="EC101" s="412" t="s">
        <v>15</v>
      </c>
      <c r="ED101" s="412" t="s">
        <v>572</v>
      </c>
      <c r="EE101" s="412">
        <v>10028.5581</v>
      </c>
      <c r="EF101" s="412">
        <v>4.6576536899844041E-2</v>
      </c>
      <c r="EG101" s="413">
        <v>859008</v>
      </c>
      <c r="EH101" s="414">
        <f t="shared" si="55"/>
        <v>383.50166881155741</v>
      </c>
      <c r="EI101" s="415">
        <f t="shared" si="56"/>
        <v>1.5253686603024317</v>
      </c>
      <c r="EJ101" s="402">
        <v>0</v>
      </c>
      <c r="EM101" s="278" t="s">
        <v>15</v>
      </c>
      <c r="EN101" s="278" t="s">
        <v>572</v>
      </c>
      <c r="EO101" s="278">
        <v>10028.5581</v>
      </c>
      <c r="EP101" s="278">
        <v>4.6576536899844041E-2</v>
      </c>
      <c r="EQ101" s="289">
        <v>859008</v>
      </c>
      <c r="ER101" s="290">
        <f t="shared" si="37"/>
        <v>383.50166881155741</v>
      </c>
      <c r="ES101" s="291">
        <f t="shared" si="38"/>
        <v>1.5253686603024317</v>
      </c>
      <c r="ET101" s="402">
        <v>0</v>
      </c>
      <c r="EV101" s="34"/>
      <c r="EW101" s="34"/>
      <c r="EX101" s="34"/>
      <c r="EY101" s="34"/>
      <c r="EZ101" s="378"/>
      <c r="FA101" s="401"/>
      <c r="FB101" s="402"/>
      <c r="FC101" s="402"/>
    </row>
    <row r="102" spans="1:159" ht="25">
      <c r="A102" s="205" t="s">
        <v>491</v>
      </c>
      <c r="B102" s="203" t="s">
        <v>490</v>
      </c>
      <c r="C102" s="400">
        <f>'A.일산테크노밸리(859991)_수정'!$P35*KTDB_TripDistribution_2035!T$12 * (1+KTDB_발생량도착량_증가율!$D$8 *5) * (1+KTDB_발생량도착량_증가율!$E$8 *5)</f>
        <v>70.076526008424182</v>
      </c>
      <c r="D102" s="400">
        <f>'A.일산테크노밸리(859991)_수정'!$P35*KTDB_TripDistribution_2035!U$12 * (1+KTDB_발생량도착량_증가율!$D$8 *5) * (1+KTDB_발생량도착량_증가율!$E$8 *5)</f>
        <v>507.15815509794112</v>
      </c>
      <c r="E102" s="400">
        <f>'A.일산테크노밸리(859991)_수정'!$P35*KTDB_TripDistribution_2035!V$12 * (1+KTDB_발생량도착량_증가율!$D$8 *5) * (1+KTDB_발생량도착량_증가율!$E$8 *5)</f>
        <v>29.094408036120491</v>
      </c>
      <c r="F102" s="400">
        <f>'A.일산테크노밸리(859991)_수정'!$P35*KTDB_TripDistribution_2035!W$12 * (1+KTDB_발생량도착량_증가율!$D$8 *5) * (1+KTDB_발생량도착량_증가율!$E$8 *5)</f>
        <v>4.572196129301264E-2</v>
      </c>
      <c r="G102" s="400">
        <f>'A.일산테크노밸리(859991)_수정'!$P35*KTDB_TripDistribution_2035!X$12 * (1+KTDB_발생량도착량_증가율!$D$8 *5) * (1+KTDB_발생량도착량_증가율!$E$8 *5)</f>
        <v>0.17272740932915936</v>
      </c>
      <c r="H102" s="400">
        <f>'A.일산테크노밸리(859991)_수정'!$P35*KTDB_TripDistribution_2035!Y$12 * (1+KTDB_발생량도착량_증가율!$D$8 *5) * (1+KTDB_발생량도착량_증가율!$E$8 *5)</f>
        <v>606.54753851310795</v>
      </c>
      <c r="J102" s="230">
        <f t="shared" si="57"/>
        <v>606.54753851310795</v>
      </c>
      <c r="K102" s="206"/>
      <c r="L102" s="210" t="s">
        <v>486</v>
      </c>
      <c r="M102" s="213">
        <f>INDEX($A$94:$H$106,MATCH($L102,$B$94:$B$106,0),MATCH($M$93,$A$94:$H$94,0))*고양시_Modal_split!C$3 * 0.01</f>
        <v>0.19621427282358769</v>
      </c>
      <c r="N102" s="213">
        <f>INDEX($A$94:$H$106,MATCH($L102,$B$94:$B$106,0),MATCH($M$93,$A$94:$H$94,0))*고양시_Modal_split!D$3 * 0.01</f>
        <v>32.956990181761896</v>
      </c>
      <c r="O102" s="213">
        <f>INDEX($A$94:$H$106,MATCH($L102,$B$94:$B$106,0),MATCH($M$93,$A$94:$H$94,0))*고양시_Modal_split!E$3 * 0.01</f>
        <v>3.9873543298793357</v>
      </c>
      <c r="P102" s="213">
        <f>INDEX($A$94:$H$106,MATCH($L102,$B$94:$B$106,0),MATCH($M$93,$A$94:$H$94,0))*고양시_Modal_split!F$3 * 0.01</f>
        <v>6.426017434972497</v>
      </c>
      <c r="Q102" s="213">
        <f>INDEX($A$94:$H$106,MATCH($L102,$B$94:$B$106,0),MATCH($M$93,$A$94:$H$94,0))*고양시_Modal_split!G$3 * 0.01</f>
        <v>0.64470403927750242</v>
      </c>
      <c r="R102" s="213">
        <f>INDEX($A$94:$H$106,MATCH($L102,$B$94:$B$106,0),MATCH($M$93,$A$94:$H$94,0))*고양시_Modal_split!H$3 * 0.01</f>
        <v>7.007652600842418E-3</v>
      </c>
      <c r="S102" s="213">
        <f>INDEX($A$94:$H$106,MATCH($L102,$B$94:$B$106,0),MATCH($M$93,$A$94:$H$94,0))*고양시_Modal_split!I$3 * 0.01</f>
        <v>1.9481274230341923</v>
      </c>
      <c r="T102" s="213">
        <f>INDEX($A$94:$H$106,MATCH($L102,$B$94:$B$106,0),MATCH($M$93,$A$94:$H$94,0))*고양시_Modal_split!J$3 * 0.01</f>
        <v>21.331294516964324</v>
      </c>
      <c r="U102" s="213">
        <f>INDEX($A$94:$H$106,MATCH($L102,$B$94:$B$106,0),MATCH($M$93,$A$94:$H$94,0))*고양시_Modal_split!K$3 * 0.01</f>
        <v>0.10511478901263628</v>
      </c>
      <c r="V102" s="213">
        <f>INDEX($A$94:$H$106,MATCH($L102,$B$94:$B$106,0),MATCH($M$93,$A$94:$H$94,0))*고양시_Modal_split!L$3 * 0.01</f>
        <v>2.1163110854544103</v>
      </c>
      <c r="W102" s="213">
        <f>INDEX($A$94:$H$106,MATCH($L102,$B$94:$B$106,0),MATCH($M$93,$A$94:$H$94,0))*고양시_Modal_split!M$3 * 0.01</f>
        <v>0.1611760098193756</v>
      </c>
      <c r="X102" s="213">
        <f>INDEX($A$94:$H$106,MATCH($L102,$B$94:$B$106,0),MATCH($M$93,$A$94:$H$94,0))*고양시_Modal_split!N$3 * 0.01</f>
        <v>7.0076526008424192E-2</v>
      </c>
      <c r="Y102" s="213">
        <f>INDEX($A$94:$H$106,MATCH($L102,$B$94:$B$106,0),MATCH($M$93,$A$94:$H$94,0))*고양시_Modal_split!O$3 * 0.01</f>
        <v>0.12613774681516352</v>
      </c>
      <c r="Z102" s="213">
        <f>INDEX($A$94:$H$106,MATCH($L102,$B$94:$B$106,0),MATCH($M$93,$A$94:$H$94,0))*고양시_Modal_split!P$3 * 0.01</f>
        <v>70.076526008424182</v>
      </c>
      <c r="AA102" s="213">
        <f>INDEX($A$94:$H$106,MATCH($L102,$B$94:$B$106,0),MATCH($AA$93,$A$94:$H$94,0))*고양시_Modal_split!C$4 * 0.01</f>
        <v>154.37894241181328</v>
      </c>
      <c r="AB102" s="213">
        <f>INDEX($A$94:$H$106,MATCH($L102,$B$94:$B$106,0),MATCH($AA$93,$A$94:$H$94,0))*고양시_Modal_split!D$4 * 0.01</f>
        <v>162.64562033990973</v>
      </c>
      <c r="AC102" s="213">
        <f>INDEX($A$94:$H$106,MATCH($L102,$B$94:$B$106,0),MATCH($AA$93,$A$94:$H$94,0))*고양시_Modal_split!E$4 * 0.01</f>
        <v>39.406188651110028</v>
      </c>
      <c r="AD102" s="213">
        <f>INDEX($A$94:$H$106,MATCH($L102,$B$94:$B$106,0),MATCH($AA$93,$A$94:$H$94,0))*고양시_Modal_split!F$4 * 0.01</f>
        <v>4.8180024734304405</v>
      </c>
      <c r="AE102" s="213">
        <f>INDEX($A$94:$H$106,MATCH($L102,$B$94:$B$106,0),MATCH($AA$93,$A$94:$H$94,0))*고양시_Modal_split!G$4 * 0.01</f>
        <v>59.3882199619689</v>
      </c>
      <c r="AF102" s="213">
        <f>INDEX($A$94:$H$106,MATCH($L102,$B$94:$B$106,0),MATCH($AA$93,$A$94:$H$94,0))*고양시_Modal_split!H$4 * 0.01</f>
        <v>0</v>
      </c>
      <c r="AG102" s="213">
        <f>INDEX($A$94:$H$106,MATCH($L102,$B$94:$B$106,0),MATCH($AA$93,$A$94:$H$94,0))*고양시_Modal_split!I$4 * 0.01</f>
        <v>17.649103797408351</v>
      </c>
      <c r="AH102" s="213">
        <f>INDEX($A$94:$H$106,MATCH($L102,$B$94:$B$106,0),MATCH($AA$93,$A$94:$H$94,0))*고양시_Modal_split!J$4 * 0.01</f>
        <v>23.887149105113025</v>
      </c>
      <c r="AI102" s="213">
        <f>INDEX($A$94:$H$106,MATCH($L102,$B$94:$B$106,0),MATCH($AA$93,$A$94:$H$94,0))*고양시_Modal_split!K$4 * 0.01</f>
        <v>0</v>
      </c>
      <c r="AJ102" s="213">
        <f>INDEX($A$94:$H$106,MATCH($L102,$B$94:$B$106,0),MATCH($AA$93,$A$94:$H$94,0))*고양시_Modal_split!L$4 * 0.01</f>
        <v>23.430706765524878</v>
      </c>
      <c r="AK102" s="213">
        <f>INDEX($A$94:$H$106,MATCH($L102,$B$94:$B$106,0),MATCH($AA$93,$A$94:$H$94,0))*고양시_Modal_split!M$4 * 0.01</f>
        <v>3.3979596391562059</v>
      </c>
      <c r="AL102" s="213">
        <f>INDEX($A$94:$H$106,MATCH($L102,$B$94:$B$106,0),MATCH($AA$93,$A$94:$H$94,0))*고양시_Modal_split!N$4 * 0.01</f>
        <v>12.678953877448528</v>
      </c>
      <c r="AM102" s="213">
        <f>INDEX($A$94:$H$106,MATCH($L102,$B$94:$B$106,0),MATCH($AA$93,$A$94:$H$94,0))*고양시_Modal_split!O$4 * 0.01</f>
        <v>5.4773080750577643</v>
      </c>
      <c r="AN102" s="213">
        <f>INDEX($A$94:$H$106,MATCH($L102,$B$94:$B$106,0),MATCH($AA$93,$A$94:$H$94,0))*고양시_Modal_split!P$4 * 0.01</f>
        <v>507.15815509794112</v>
      </c>
      <c r="AO102" s="213">
        <f>INDEX($A$94:$H$106,MATCH($L102,$B$94:$B$106,0),MATCH($AO$93,$A$94:$H$94,0))*고양시_Modal_split!C$5 * 0.01</f>
        <v>1.7456644821672293E-2</v>
      </c>
      <c r="AP102" s="213">
        <f>INDEX($A$94:$H$106,MATCH($L102,$B$94:$B$106,0),MATCH($AO$93,$A$94:$H$94,0))*고양시_Modal_split!D$5 * 0.01</f>
        <v>21.320382208869095</v>
      </c>
      <c r="AQ102" s="213">
        <f>INDEX($A$94:$H$106,MATCH($L102,$B$94:$B$106,0),MATCH($AO$93,$A$94:$H$94,0))*고양시_Modal_split!E$5 * 0.01</f>
        <v>2.8657991915578687</v>
      </c>
      <c r="AR102" s="213">
        <f>INDEX($A$94:$H$106,MATCH($L102,$B$94:$B$106,0),MATCH($AO$93,$A$94:$H$94,0))*고양시_Modal_split!F$5 * 0.01</f>
        <v>0.6109825687585303</v>
      </c>
      <c r="AS102" s="213">
        <f>INDEX($A$94:$H$106,MATCH($L102,$B$94:$B$106,0),MATCH($AO$93,$A$94:$H$94,0))*고양시_Modal_split!G$5 * 0.01</f>
        <v>0.18911365223478321</v>
      </c>
      <c r="AT102" s="213">
        <f>INDEX($A$94:$H$106,MATCH($L102,$B$94:$B$106,0),MATCH($AO$93,$A$94:$H$94,0))*고양시_Modal_split!H$5 * 0.01</f>
        <v>2.0366085625284344E-2</v>
      </c>
      <c r="AU102" s="213">
        <f>INDEX($A$94:$H$106,MATCH($L102,$B$94:$B$106,0),MATCH($AO$93,$A$94:$H$94,0))*고양시_Modal_split!I$5 * 0.01</f>
        <v>0.80591510260053767</v>
      </c>
      <c r="AV102" s="213">
        <f>INDEX($A$94:$H$106,MATCH($L102,$B$94:$B$106,0),MATCH($AO$93,$A$94:$H$94,0))*고양시_Modal_split!J$5 * 0.01</f>
        <v>1.8242193838647549</v>
      </c>
      <c r="AW102" s="213">
        <f>INDEX($A$94:$H$106,MATCH($L102,$B$94:$B$106,0),MATCH($AO$93,$A$94:$H$94,0))*고양시_Modal_split!K$5 * 0.01</f>
        <v>5.818881607224098E-3</v>
      </c>
      <c r="AX102" s="213">
        <f>INDEX($A$94:$H$106,MATCH($L102,$B$94:$B$106,0),MATCH($AO$93,$A$94:$H$94,0))*고양시_Modal_split!L$5 * 0.01</f>
        <v>0.74190740492107254</v>
      </c>
      <c r="AY102" s="213">
        <f>INDEX($A$94:$H$106,MATCH($L102,$B$94:$B$106,0),MATCH($AO$93,$A$94:$H$94,0))*고양시_Modal_split!M$5 * 0.01</f>
        <v>0.19493253384200732</v>
      </c>
      <c r="AZ102" s="213">
        <f>INDEX($A$94:$H$106,MATCH($L102,$B$94:$B$106,0),MATCH($AO$93,$A$94:$H$94,0))*고양시_Modal_split!N$5 * 0.01</f>
        <v>4.9460493661404828E-2</v>
      </c>
      <c r="BA102" s="213">
        <f>INDEX($A$94:$H$106,MATCH($L102,$B$94:$B$106,0),MATCH($AO$93,$A$94:$H$94,0))*고양시_Modal_split!O$5 * 0.01</f>
        <v>0.44805388375625554</v>
      </c>
      <c r="BB102" s="213">
        <f>INDEX($A$94:$H$106,MATCH($L102,$B$94:$B$106,0),MATCH($AO$93,$A$94:$H$94,0))*고양시_Modal_split!P$5 * 0.01</f>
        <v>29.094408036120484</v>
      </c>
      <c r="BC102" s="213">
        <f>INDEX($A$94:$H$106,MATCH($L102,$B$94:$B$106,0),MATCH($BC$93,$A$94:$H$94,0))*고양시_Modal_split!C$6 * 0.01</f>
        <v>0</v>
      </c>
      <c r="BD102" s="207">
        <f>INDEX($A$94:$H$106,MATCH($L102,$B$94:$B$106,0),MATCH($BC$93,$A$94:$H$94,0))*고양시_Modal_split!D$6 * 0.01</f>
        <v>3.7862356146743763E-2</v>
      </c>
      <c r="BE102" s="207">
        <f>INDEX($A$94:$H$106,MATCH($L102,$B$94:$B$106,0),MATCH($BC$93,$A$94:$H$94,0))*고양시_Modal_split!E$6 * 0.01</f>
        <v>1.9660443355995434E-4</v>
      </c>
      <c r="BF102" s="207">
        <f>INDEX($A$94:$H$106,MATCH($L102,$B$94:$B$106,0),MATCH($BC$93,$A$94:$H$94,0))*고양시_Modal_split!F$6 * 0.01</f>
        <v>5.5780792777475417E-4</v>
      </c>
      <c r="BG102" s="207">
        <f>INDEX($A$94:$H$106,MATCH($L102,$B$94:$B$106,0),MATCH($BC$93,$A$94:$H$94,0))*고양시_Modal_split!G$6 * 0.01</f>
        <v>0</v>
      </c>
      <c r="BH102" s="207">
        <f>INDEX($A$94:$H$106,MATCH($L102,$B$94:$B$106,0),MATCH($BC$93,$A$94:$H$94,0))*고양시_Modal_split!H$6 * 0.01</f>
        <v>2.4278361446589715E-3</v>
      </c>
      <c r="BI102" s="207">
        <f>INDEX($A$94:$H$106,MATCH($L102,$B$94:$B$106,0),MATCH($BC$93,$A$94:$H$94,0))*고양시_Modal_split!I$6 * 0.01</f>
        <v>1.6185574297726474E-3</v>
      </c>
      <c r="BJ102" s="207">
        <f>INDEX($A$94:$H$106,MATCH($L102,$B$94:$B$106,0),MATCH($BC$93,$A$94:$H$94,0))*고양시_Modal_split!J$6 * 0.01</f>
        <v>2.2586648878748241E-3</v>
      </c>
      <c r="BK102" s="207">
        <f>INDEX($A$94:$H$106,MATCH($L102,$B$94:$B$106,0),MATCH($BC$93,$A$94:$H$94,0))*고양시_Modal_split!K$6 * 0.01</f>
        <v>0</v>
      </c>
      <c r="BL102" s="207">
        <f>INDEX($A$94:$H$106,MATCH($L102,$B$94:$B$106,0),MATCH($BC$93,$A$94:$H$94,0))*고양시_Modal_split!L$6 * 0.01</f>
        <v>3.4748690582689606E-4</v>
      </c>
      <c r="BM102" s="207">
        <f>INDEX($A$94:$H$106,MATCH($L102,$B$94:$B$106,0),MATCH($BC$93,$A$94:$H$94,0))*고양시_Modal_split!M$6 * 0.01</f>
        <v>4.1606984776641504E-4</v>
      </c>
      <c r="BN102" s="207">
        <f>INDEX($A$94:$H$106,MATCH($L102,$B$94:$B$106,0),MATCH($BC$93,$A$94:$H$94,0))*고양시_Modal_split!N$6 * 0.01</f>
        <v>0</v>
      </c>
      <c r="BO102" s="207">
        <f>INDEX($A$94:$H$106,MATCH($L102,$B$94:$B$106,0),MATCH($BC$93,$A$94:$H$94,0))*고양시_Modal_split!O$6 * 0.01</f>
        <v>3.6577569034410113E-5</v>
      </c>
      <c r="BP102" s="214">
        <f>INDEX($A$94:$H$106,MATCH($L102,$B$94:$B$106,0),MATCH($BC$93,$A$94:$H$94,0))*고양시_Modal_split!P$6 * 0.01</f>
        <v>4.572196129301264E-2</v>
      </c>
      <c r="BQ102" s="213">
        <f>INDEX($A$94:$H$106,MATCH($L102,$B$94:$B$106,0),MATCH($BQ$93,$A$94:$H$94,0))*고양시_Modal_split!C$7 * 0.01</f>
        <v>0</v>
      </c>
      <c r="BR102" s="213">
        <f>INDEX($A$94:$H$106,MATCH($L102,$B$94:$B$106,0),MATCH($BQ$93,$A$94:$H$94,0))*고양시_Modal_split!D$7 * 0.01</f>
        <v>0.10584735643690886</v>
      </c>
      <c r="BS102" s="213">
        <f>INDEX($A$94:$H$106,MATCH($L102,$B$94:$B$106,0),MATCH($BQ$93,$A$94:$H$94,0))*고양시_Modal_split!E$7 * 0.01</f>
        <v>5.1645495389418651E-3</v>
      </c>
      <c r="BT102" s="213">
        <f>INDEX($A$94:$H$106,MATCH($L102,$B$94:$B$106,0),MATCH($BQ$93,$A$94:$H$94,0))*고양시_Modal_split!F$7 * 0.01</f>
        <v>1.7272740932915936E-3</v>
      </c>
      <c r="BU102" s="213">
        <f>INDEX($A$94:$H$106,MATCH($L102,$B$94:$B$106,0),MATCH($BQ$93,$A$94:$H$94,0))*고양시_Modal_split!G$7 * 0.01</f>
        <v>7.254551191824693E-4</v>
      </c>
      <c r="BV102" s="213">
        <f>INDEX($A$94:$H$106,MATCH($L102,$B$94:$B$106,0),MATCH($BQ$93,$A$94:$H$94,0))*고양시_Modal_split!H$7 * 0.01</f>
        <v>9.6554621815000095E-3</v>
      </c>
      <c r="BW102" s="213">
        <f>INDEX($A$94:$H$106,MATCH($L102,$B$94:$B$106,0),MATCH($BQ$93,$A$94:$H$94,0))*고양시_Modal_split!I$7 * 0.01</f>
        <v>3.2248207321754055E-2</v>
      </c>
      <c r="BX102" s="213">
        <f>INDEX($A$94:$H$106,MATCH($L102,$B$94:$B$106,0),MATCH($BQ$93,$A$94:$H$94,0))*고양시_Modal_split!J$7 * 0.01</f>
        <v>3.4545481865831872E-5</v>
      </c>
      <c r="BY102" s="213">
        <f>INDEX($A$94:$H$106,MATCH($L102,$B$94:$B$106,0),MATCH($BQ$93,$A$94:$H$94,0))*고양시_Modal_split!K$7 * 0.01</f>
        <v>1.330001051834527E-2</v>
      </c>
      <c r="BZ102" s="213">
        <f>INDEX($A$94:$H$106,MATCH($L102,$B$94:$B$106,0),MATCH($BQ$93,$A$94:$H$94,0))*고양시_Modal_split!L$7 * 0.01</f>
        <v>1.2090918653041155E-4</v>
      </c>
      <c r="CA102" s="213">
        <f>INDEX($A$94:$H$106,MATCH($L102,$B$94:$B$106,0),MATCH($BQ$93,$A$94:$H$94,0))*고양시_Modal_split!M$7 * 0.01</f>
        <v>3.2300025544552803E-3</v>
      </c>
      <c r="CB102" s="213">
        <f>INDEX($A$94:$H$106,MATCH($L102,$B$94:$B$106,0),MATCH($BQ$93,$A$94:$H$94,0))*고양시_Modal_split!N$7 * 0.01</f>
        <v>6.7363689638372151E-4</v>
      </c>
      <c r="CC102" s="213">
        <f>INDEX($A$94:$H$106,MATCH($L102,$B$94:$B$106,0),MATCH($BQ$93,$A$94:$H$94,0))*고양시_Modal_split!O$7 * 0.01</f>
        <v>0</v>
      </c>
      <c r="CD102" s="213">
        <f>INDEX($A$94:$H$106,MATCH($L102,$B$94:$B$106,0),MATCH($BQ$93,$A$94:$H$94,0))*고양시_Modal_split!P$7 * 0.01</f>
        <v>0.17272740932915936</v>
      </c>
      <c r="CE102" s="218">
        <f t="shared" si="58"/>
        <v>154.59261332945854</v>
      </c>
      <c r="CF102" s="208">
        <f t="shared" si="39"/>
        <v>217.06670244312437</v>
      </c>
      <c r="CG102" s="208">
        <f t="shared" si="40"/>
        <v>46.264703326519736</v>
      </c>
      <c r="CH102" s="208">
        <f t="shared" si="41"/>
        <v>11.857287559182533</v>
      </c>
      <c r="CI102" s="208">
        <f t="shared" si="42"/>
        <v>60.222763108600361</v>
      </c>
      <c r="CJ102" s="208">
        <f t="shared" si="43"/>
        <v>3.9457036552285746E-2</v>
      </c>
      <c r="CK102" s="208">
        <f t="shared" si="44"/>
        <v>20.437013087794607</v>
      </c>
      <c r="CL102" s="208">
        <f t="shared" si="45"/>
        <v>47.044956216311846</v>
      </c>
      <c r="CM102" s="208">
        <f t="shared" si="46"/>
        <v>0.12423368113820565</v>
      </c>
      <c r="CN102" s="208">
        <f t="shared" si="47"/>
        <v>26.289393651992718</v>
      </c>
      <c r="CO102" s="208">
        <f t="shared" si="48"/>
        <v>3.7577142552198102</v>
      </c>
      <c r="CP102" s="208">
        <f t="shared" si="49"/>
        <v>12.799164534014741</v>
      </c>
      <c r="CQ102" s="208">
        <f t="shared" si="50"/>
        <v>6.0515362831982173</v>
      </c>
      <c r="CR102" s="219">
        <f t="shared" si="51"/>
        <v>606.54753851310795</v>
      </c>
      <c r="CS102" s="225">
        <f t="shared" si="59"/>
        <v>0</v>
      </c>
      <c r="CV102" s="265"/>
      <c r="CW102" s="271" t="s">
        <v>486</v>
      </c>
      <c r="CX102" s="267">
        <f>INDEX($M$93:$Z$106,MATCH($CW102,$L$93:$L$106,0),MATCH(CX$94,$M$94:$Z$94,0))/INDEX(고양시_재차인원!$D$4:$H$35,MATCH("고양시",고양시_재차인원!$B$4:$B$35,0),MATCH('A.일산테크노밸리(859991)_수정'!$CX$93,고양시_재차인원!$D$4:$H$4,0))</f>
        <v>29.425884090858833</v>
      </c>
      <c r="CY102" s="267">
        <f>INDEX($M$93:$Z$106,MATCH($CW102,$L$93:$L$106,0),MATCH(CY$94,$M$94:$Z$94,0))/INDEX(고양시_재차인원!$K$4:$O$20,MATCH("경기도",고양시_재차인원!$K$4:$K$20,0),MATCH('A.일산테크노밸리(859991)_수정'!CY$94,고양시_재차인원!$K$4:$O$4,0))</f>
        <v>2.4340578676076478E-4</v>
      </c>
      <c r="CZ102" s="267">
        <f>INDEX($M$93:$Z$106,MATCH($CW102,$L$93:$L$106,0),MATCH(CZ$94,$M$94:$Z$94,0))/INDEX(고양시_재차인원!$K$4:$O$20,MATCH("경기도",고양시_재차인원!$K$4:$K$20,0),MATCH('A.일산테크노밸리(859991)_수정'!CZ$94,고양시_재차인원!$K$4:$O$4,0))</f>
        <v>6.7666808719492613E-2</v>
      </c>
      <c r="DA102" s="267">
        <f>INDEX($M$93:$Z$106,MATCH($CW102,$L$93:$L$106,0),MATCH(DA$94,$M$94:$Z$94,0))/INDEX(고양시_재차인원!$K$4:$O$20,MATCH("경기도",고양시_재차인원!$K$4:$K$20,0),MATCH('A.일산테크노밸리(859991)_수정'!DA$94,고양시_재차인원!$K$4:$O$4,0))</f>
        <v>1.4108740569696068</v>
      </c>
      <c r="DB102" s="268">
        <f>INDEX($AA$93:$AN$106,MATCH($CW102,$L$93:$L$106,0),MATCH(DB$94,$AA$94:$AN$94,0))/INDEX(고양시_재차인원!$D$4:$H$35,MATCH("고양시",고양시_재차인원!$B$4:$B$35,0),MATCH('A.일산테크노밸리(859991)_수정'!$DB$93,고양시_재차인원!$D$4:$H$4,0))</f>
        <v>115.35150378717003</v>
      </c>
      <c r="DC102" s="267">
        <f>INDEX($AA$93:$AN$106,MATCH($CW102,$L$93:$L$106,0),MATCH(DC$94,$AA$94:$AN$94,0))/INDEX(고양시_재차인원!$K$4:$O$20,MATCH("경기도",고양시_재차인원!$K$4:$K$20,0),MATCH('A.일산테크노밸리(859991)_수정'!DC$94,고양시_재차인원!$K$4:$O$4,0))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2" s="267">
        <f>INDEX($AA$93:$AN$106,MATCH($CW102,$L$93:$L$106,0),MATCH(DD$94,$AA$94:$AN$94,0))/INDEX(고양시_재차인원!$K$4:$O$20,MATCH("경기도",고양시_재차인원!$K$4:$K$20,0),MATCH('A.일산테크노밸리(859991)_수정'!DD$94,고양시_재차인원!$K$4:$O$4,0))</f>
        <v>0.61302896135492713</v>
      </c>
      <c r="DE102" s="267">
        <f>INDEX($AA$93:$AN$106,MATCH($CW102,$L$93:$L$106,0),MATCH(DE$94,$AA$94:$AN$94,0))/INDEX(고양시_재차인원!$K$4:$O$20,MATCH("경기도",고양시_재차인원!$K$4:$K$20,0),MATCH('A.일산테크노밸리(859991)_수정'!DE$94,고양시_재차인원!$K$4:$O$4,0))</f>
        <v>15.620471177016585</v>
      </c>
      <c r="DF102" s="268">
        <f>INDEX($AO$93:$BB$106,MATCH($CW102,$L$93:$L$106,0),MATCH(DF$94,$AO$94:$BB$94,0))/INDEX(고양시_재차인원!$D$4:$H$35,MATCH("고양시",고양시_재차인원!$B$4:$B$35,0),MATCH('A.일산테크노밸리(859991)_수정'!$DF$93,고양시_재차인원!$D$4:$H$4,0))</f>
        <v>16.400294006822381</v>
      </c>
      <c r="DG102" s="267">
        <f>INDEX($AO$93:$BB$106,MATCH($CW102,$L$93:$L$106,0),MATCH(DG$94,$AO$94:$BB$94,0))/INDEX(고양시_재차인원!$K$4:$O$20,MATCH("경기도",고양시_재차인원!$K$4:$K$20,0),MATCH('A.일산테크노밸리(859991)_수정'!DG$94,고양시_재차인원!$K$4:$O$4,0))</f>
        <v>7.0740137635582994E-4</v>
      </c>
      <c r="DH102" s="267">
        <f>INDEX($AO$93:$BB$106,MATCH($CW102,$L$93:$L$106,0),MATCH(DH$94,$AO$94:$BB$94,0))/INDEX(고양시_재차인원!$K$4:$O$20,MATCH("경기도",고양시_재차인원!$K$4:$K$20,0),MATCH('A.일산테크노밸리(859991)_수정'!DH$94,고양시_재차인원!$K$4:$O$4,0))</f>
        <v>2.7992883035794988E-2</v>
      </c>
      <c r="DI102" s="267">
        <f>INDEX($AO$93:$BB$106,MATCH($CW102,$L$93:$L$106,0),MATCH(DI$94,$AO$94:$BB$94,0))/INDEX(고양시_재차인원!$K$4:$O$20,MATCH("경기도",고양시_재차인원!$K$4:$K$20,0),MATCH('A.일산테크노밸리(859991)_수정'!DI$94,고양시_재차인원!$K$4:$O$4,0))</f>
        <v>0.49460493661404836</v>
      </c>
      <c r="DJ102" s="268">
        <f>INDEX($BC$93:$BP$106,MATCH($CW102,$L$93:$L$106,0),MATCH(DJ$94,$BC$94:$BP$94,0))/INDEX(고양시_재차인원!$D$4:$H$35,MATCH("고양시",고양시_재차인원!$B$4:$B$35,0),MATCH('A.일산테크노밸리(859991)_수정'!$DJ$93,고양시_재차인원!$D$4:$H$4,0))</f>
        <v>2.7839967754958648E-2</v>
      </c>
      <c r="DK102" s="267">
        <f>INDEX($BC$93:$BP$106,MATCH($CW102,$L$93:$L$106,0),MATCH(DK$94,$BC$94:$BP$94,0))/INDEX(고양시_재차인원!$K$4:$O$20,MATCH("경기도",고양시_재차인원!$K$4:$K$20,0),MATCH('A.일산테크노밸리(859991)_수정'!DK$94,고양시_재차인원!$K$4:$O$4,0))</f>
        <v>8.4329147087842013E-5</v>
      </c>
      <c r="DL102" s="267">
        <f>INDEX($BC$93:$BP$106,MATCH($CW102,$L$93:$L$106,0),MATCH(DL$94,$BC$94:$BP$94,0))/INDEX(고양시_재차인원!$K$4:$O$20,MATCH("경기도",고양시_재차인원!$K$4:$K$20,0),MATCH('A.일산테크노밸리(859991)_수정'!DL$94,고양시_재차인원!$K$4:$O$4,0))</f>
        <v>5.6219431391894671E-5</v>
      </c>
      <c r="DM102" s="267">
        <f>INDEX($BC$93:$BP$106,MATCH($CW102,$L$93:$L$106,0),MATCH(DM$94,$BC$94:$BP$94,0))/INDEX(고양시_재차인원!$K$4:$O$20,MATCH("경기도",고양시_재차인원!$K$4:$K$20,0),MATCH('A.일산테크노밸리(859991)_수정'!DM$94,고양시_재차인원!$K$4:$O$4,0))</f>
        <v>2.316579372179307E-4</v>
      </c>
      <c r="DN102" s="268">
        <f>INDEX($BQ$93:$CD$106,MATCH($CW102,$L$93:$L$106,0),MATCH(DN$94,$BQ$94:$CD$94,0))/INDEX(고양시_재차인원!$D$4:$H$35,MATCH("고양시",고양시_재차인원!$B$4:$B$35,0),MATCH('A.일산테크노밸리(859991)_수정'!$DN$93,고양시_재차인원!$D$4:$H$4,0))</f>
        <v>8.4005838441991151E-2</v>
      </c>
      <c r="DO102" s="267">
        <f>INDEX($BQ$93:$CD$106,MATCH($CW102,$L$93:$L$106,0),MATCH(DO$94,$BQ$94:$CD$94,0))/INDEX(고양시_재차인원!$K$4:$O$20,MATCH("경기도",고양시_재차인원!$K$4:$K$20,0),MATCH('A.일산테크노밸리(859991)_수정'!DO$94,고양시_재차인원!$K$4:$O$4,0))</f>
        <v>3.3537555336922577E-4</v>
      </c>
      <c r="DP102" s="267">
        <f>INDEX($BQ$93:$CD$106,MATCH($CW102,$L$93:$L$106,0),MATCH(DP$94,$BQ$94:$CD$94,0))/INDEX(고양시_재차인원!$K$4:$O$20,MATCH("경기도",고양시_재차인원!$K$4:$K$20,0),MATCH('A.일산테크노밸리(859991)_수정'!DP$94,고양시_재차인원!$K$4:$O$4,0))</f>
        <v>1.1201183508771815E-3</v>
      </c>
      <c r="DQ102" s="267">
        <f>INDEX($BQ$93:$CD$106,MATCH($CW102,$L$93:$L$106,0),MATCH(DQ$94,$BQ$94:$CD$94,0))/INDEX(고양시_재차인원!$K$4:$O$20,MATCH("경기도",고양시_재차인원!$K$4:$K$20,0),MATCH('A.일산테크노밸리(859991)_수정'!DQ$94,고양시_재차인원!$K$4:$O$4,0))</f>
        <v>8.06061243536077E-5</v>
      </c>
      <c r="DR102" s="269">
        <f t="shared" si="60"/>
        <v>161.28952769104819</v>
      </c>
      <c r="DS102" s="270">
        <f t="shared" si="52"/>
        <v>1.3705118635736625E-3</v>
      </c>
      <c r="DT102" s="270">
        <f t="shared" si="53"/>
        <v>0.70986499089248378</v>
      </c>
      <c r="DU102" s="270">
        <f t="shared" si="54"/>
        <v>17.52626243466181</v>
      </c>
      <c r="DW102" s="278"/>
      <c r="DX102" s="278" t="s">
        <v>595</v>
      </c>
      <c r="DY102" s="281">
        <f>DR104+DU104</f>
        <v>318.77128599207452</v>
      </c>
      <c r="DZ102" s="281">
        <f>DS104+DT104</f>
        <v>1.2679051201092462</v>
      </c>
      <c r="EC102" s="412" t="s">
        <v>15</v>
      </c>
      <c r="ED102" s="412" t="s">
        <v>573</v>
      </c>
      <c r="EE102" s="412">
        <v>21685.084499999997</v>
      </c>
      <c r="EF102" s="412">
        <v>0.10071399380839066</v>
      </c>
      <c r="EG102" s="413">
        <v>859009</v>
      </c>
      <c r="EH102" s="414">
        <f t="shared" si="55"/>
        <v>829.25840496149056</v>
      </c>
      <c r="EI102" s="415">
        <f t="shared" si="56"/>
        <v>3.2983553530302649</v>
      </c>
      <c r="EJ102" s="402">
        <v>0</v>
      </c>
      <c r="EM102" s="278" t="s">
        <v>15</v>
      </c>
      <c r="EN102" s="278" t="s">
        <v>573</v>
      </c>
      <c r="EO102" s="278">
        <v>21685.084499999997</v>
      </c>
      <c r="EP102" s="278">
        <v>0.10071399380839066</v>
      </c>
      <c r="EQ102" s="289">
        <v>859009</v>
      </c>
      <c r="ER102" s="290">
        <f t="shared" si="37"/>
        <v>829.25840496149056</v>
      </c>
      <c r="ES102" s="291">
        <f t="shared" si="38"/>
        <v>3.2983553530302649</v>
      </c>
      <c r="ET102" s="402">
        <v>0</v>
      </c>
      <c r="EV102" s="34"/>
      <c r="EW102" s="34"/>
      <c r="EX102" s="34"/>
      <c r="EY102" s="34"/>
      <c r="EZ102" s="378"/>
      <c r="FA102" s="401"/>
      <c r="FB102" s="402"/>
      <c r="FC102" s="402"/>
    </row>
    <row r="103" spans="1:159">
      <c r="A103" s="205" t="s">
        <v>491</v>
      </c>
      <c r="B103" s="203" t="s">
        <v>23</v>
      </c>
      <c r="C103" s="400">
        <f>'A.일산테크노밸리(859991)_수정'!$P36*KTDB_TripDistribution_2035!T$12 * (1+KTDB_발생량도착량_증가율!$D$8 *5) * (1+KTDB_발생량도착량_증가율!$E$8 *5)</f>
        <v>233.35941177315112</v>
      </c>
      <c r="D103" s="400">
        <f>'A.일산테크노밸리(859991)_수정'!$P36*KTDB_TripDistribution_2035!U$12 * (1+KTDB_발생량도착량_증가율!$D$8 *5) * (1+KTDB_발생량도착량_증가율!$E$8 *5)</f>
        <v>1688.8698040679806</v>
      </c>
      <c r="E103" s="400">
        <f>'A.일산테크노밸리(859991)_수정'!$P36*KTDB_TripDistribution_2035!V$12 * (1+KTDB_발생량도착량_증가율!$D$8 *5) * (1+KTDB_발생량도착량_증가율!$E$8 *5)</f>
        <v>96.886280355577725</v>
      </c>
      <c r="F103" s="400">
        <f>'A.일산테크노밸리(859991)_수정'!$P36*KTDB_TripDistribution_2035!W$12 * (1+KTDB_발생량도착량_증가율!$D$8 *5) * (1+KTDB_발생량도착량_증가율!$E$8 *5)</f>
        <v>0.15225711946921527</v>
      </c>
      <c r="G103" s="400">
        <f>'A.일산테크노밸리(859991)_수정'!$P36*KTDB_TripDistribution_2035!X$12 * (1+KTDB_발생량도착량_증가율!$D$8 *5) * (1+KTDB_발생량도착량_증가율!$E$8 *5)</f>
        <v>0.57519356243925945</v>
      </c>
      <c r="H103" s="400">
        <f>'A.일산테크노밸리(859991)_수정'!$P36*KTDB_TripDistribution_2035!Y$12 * (1+KTDB_발생량도착량_증가율!$D$8 *5) * (1+KTDB_발생량도착량_증가율!$E$8 *5)</f>
        <v>2019.842946878618</v>
      </c>
      <c r="J103" s="230">
        <f t="shared" si="57"/>
        <v>2019.8429468786178</v>
      </c>
      <c r="K103" s="206"/>
      <c r="L103" s="210" t="s">
        <v>23</v>
      </c>
      <c r="M103" s="213">
        <f>INDEX($A$94:$H$106,MATCH($L103,$B$94:$B$106,0),MATCH($M$93,$A$94:$H$94,0))*고양시_Modal_split!C$3 * 0.01</f>
        <v>0.65340635296482308</v>
      </c>
      <c r="N103" s="213">
        <f>INDEX($A$94:$H$106,MATCH($L103,$B$94:$B$106,0),MATCH($M$93,$A$94:$H$94,0))*고양시_Modal_split!D$3 * 0.01</f>
        <v>109.74893135691298</v>
      </c>
      <c r="O103" s="213">
        <f>INDEX($A$94:$H$106,MATCH($L103,$B$94:$B$106,0),MATCH($M$93,$A$94:$H$94,0))*고양시_Modal_split!E$3 * 0.01</f>
        <v>13.278150529892299</v>
      </c>
      <c r="P103" s="213">
        <f>INDEX($A$94:$H$106,MATCH($L103,$B$94:$B$106,0),MATCH($M$93,$A$94:$H$94,0))*고양시_Modal_split!F$3 * 0.01</f>
        <v>21.399058059597959</v>
      </c>
      <c r="Q103" s="213">
        <f>INDEX($A$94:$H$106,MATCH($L103,$B$94:$B$106,0),MATCH($M$93,$A$94:$H$94,0))*고양시_Modal_split!G$3 * 0.01</f>
        <v>2.1469065883129903</v>
      </c>
      <c r="R103" s="213">
        <f>INDEX($A$94:$H$106,MATCH($L103,$B$94:$B$106,0),MATCH($M$93,$A$94:$H$94,0))*고양시_Modal_split!H$3 * 0.01</f>
        <v>2.3335941177315113E-2</v>
      </c>
      <c r="S103" s="213">
        <f>INDEX($A$94:$H$106,MATCH($L103,$B$94:$B$106,0),MATCH($M$93,$A$94:$H$94,0))*고양시_Modal_split!I$3 * 0.01</f>
        <v>6.4873916472936006</v>
      </c>
      <c r="T103" s="213">
        <f>INDEX($A$94:$H$106,MATCH($L103,$B$94:$B$106,0),MATCH($M$93,$A$94:$H$94,0))*고양시_Modal_split!J$3 * 0.01</f>
        <v>71.034604943747212</v>
      </c>
      <c r="U103" s="213">
        <f>INDEX($A$94:$H$106,MATCH($L103,$B$94:$B$106,0),MATCH($M$93,$A$94:$H$94,0))*고양시_Modal_split!K$3 * 0.01</f>
        <v>0.35003911765972667</v>
      </c>
      <c r="V103" s="213">
        <f>INDEX($A$94:$H$106,MATCH($L103,$B$94:$B$106,0),MATCH($M$93,$A$94:$H$94,0))*고양시_Modal_split!L$3 * 0.01</f>
        <v>7.0474542355491643</v>
      </c>
      <c r="W103" s="213">
        <f>INDEX($A$94:$H$106,MATCH($L103,$B$94:$B$106,0),MATCH($M$93,$A$94:$H$94,0))*고양시_Modal_split!M$3 * 0.01</f>
        <v>0.53672664707824758</v>
      </c>
      <c r="X103" s="213">
        <f>INDEX($A$94:$H$106,MATCH($L103,$B$94:$B$106,0),MATCH($M$93,$A$94:$H$94,0))*고양시_Modal_split!N$3 * 0.01</f>
        <v>0.23335941177315114</v>
      </c>
      <c r="Y103" s="213">
        <f>INDEX($A$94:$H$106,MATCH($L103,$B$94:$B$106,0),MATCH($M$93,$A$94:$H$94,0))*고양시_Modal_split!O$3 * 0.01</f>
        <v>0.42004694119167196</v>
      </c>
      <c r="Z103" s="213">
        <f>INDEX($A$94:$H$106,MATCH($L103,$B$94:$B$106,0),MATCH($M$93,$A$94:$H$94,0))*고양시_Modal_split!P$3 * 0.01</f>
        <v>233.35941177315112</v>
      </c>
      <c r="AA103" s="213">
        <f>INDEX($A$94:$H$106,MATCH($L103,$B$94:$B$106,0),MATCH($AA$93,$A$94:$H$94,0))*고양시_Modal_split!C$4 * 0.01</f>
        <v>514.09196835829334</v>
      </c>
      <c r="AB103" s="213">
        <f>INDEX($A$94:$H$106,MATCH($L103,$B$94:$B$106,0),MATCH($AA$93,$A$94:$H$94,0))*고양시_Modal_split!D$4 * 0.01</f>
        <v>541.62054616460136</v>
      </c>
      <c r="AC103" s="213">
        <f>INDEX($A$94:$H$106,MATCH($L103,$B$94:$B$106,0),MATCH($AA$93,$A$94:$H$94,0))*고양시_Modal_split!E$4 * 0.01</f>
        <v>131.2251837760821</v>
      </c>
      <c r="AD103" s="213">
        <f>INDEX($A$94:$H$106,MATCH($L103,$B$94:$B$106,0),MATCH($AA$93,$A$94:$H$94,0))*고양시_Modal_split!F$4 * 0.01</f>
        <v>16.044263138645814</v>
      </c>
      <c r="AE103" s="213">
        <f>INDEX($A$94:$H$106,MATCH($L103,$B$94:$B$106,0),MATCH($AA$93,$A$94:$H$94,0))*고양시_Modal_split!G$4 * 0.01</f>
        <v>197.76665405636049</v>
      </c>
      <c r="AF103" s="213">
        <f>INDEX($A$94:$H$106,MATCH($L103,$B$94:$B$106,0),MATCH($AA$93,$A$94:$H$94,0))*고양시_Modal_split!H$4 * 0.01</f>
        <v>0</v>
      </c>
      <c r="AG103" s="213">
        <f>INDEX($A$94:$H$106,MATCH($L103,$B$94:$B$106,0),MATCH($AA$93,$A$94:$H$94,0))*고양시_Modal_split!I$4 * 0.01</f>
        <v>58.772669181565718</v>
      </c>
      <c r="AH103" s="213">
        <f>INDEX($A$94:$H$106,MATCH($L103,$B$94:$B$106,0),MATCH($AA$93,$A$94:$H$94,0))*고양시_Modal_split!J$4 * 0.01</f>
        <v>79.545767771601888</v>
      </c>
      <c r="AI103" s="213">
        <f>INDEX($A$94:$H$106,MATCH($L103,$B$94:$B$106,0),MATCH($AA$93,$A$94:$H$94,0))*고양시_Modal_split!K$4 * 0.01</f>
        <v>0</v>
      </c>
      <c r="AJ103" s="213">
        <f>INDEX($A$94:$H$106,MATCH($L103,$B$94:$B$106,0),MATCH($AA$93,$A$94:$H$94,0))*고양시_Modal_split!L$4 * 0.01</f>
        <v>78.025784947940707</v>
      </c>
      <c r="AK103" s="213">
        <f>INDEX($A$94:$H$106,MATCH($L103,$B$94:$B$106,0),MATCH($AA$93,$A$94:$H$94,0))*고양시_Modal_split!M$4 * 0.01</f>
        <v>11.315427687255472</v>
      </c>
      <c r="AL103" s="213">
        <f>INDEX($A$94:$H$106,MATCH($L103,$B$94:$B$106,0),MATCH($AA$93,$A$94:$H$94,0))*고양시_Modal_split!N$4 * 0.01</f>
        <v>42.221745101699518</v>
      </c>
      <c r="AM103" s="213">
        <f>INDEX($A$94:$H$106,MATCH($L103,$B$94:$B$106,0),MATCH($AA$93,$A$94:$H$94,0))*고양시_Modal_split!O$4 * 0.01</f>
        <v>18.239793883934194</v>
      </c>
      <c r="AN103" s="213">
        <f>INDEX($A$94:$H$106,MATCH($L103,$B$94:$B$106,0),MATCH($AA$93,$A$94:$H$94,0))*고양시_Modal_split!P$4 * 0.01</f>
        <v>1688.8698040679806</v>
      </c>
      <c r="AO103" s="213">
        <f>INDEX($A$94:$H$106,MATCH($L103,$B$94:$B$106,0),MATCH($AO$93,$A$94:$H$94,0))*고양시_Modal_split!C$5 * 0.01</f>
        <v>5.8131768213346632E-2</v>
      </c>
      <c r="AP103" s="213">
        <f>INDEX($A$94:$H$106,MATCH($L103,$B$94:$B$106,0),MATCH($AO$93,$A$94:$H$94,0))*고양시_Modal_split!D$5 * 0.01</f>
        <v>70.998266244567361</v>
      </c>
      <c r="AQ103" s="213">
        <f>INDEX($A$94:$H$106,MATCH($L103,$B$94:$B$106,0),MATCH($AO$93,$A$94:$H$94,0))*고양시_Modal_split!E$5 * 0.01</f>
        <v>9.5432986150244048</v>
      </c>
      <c r="AR103" s="213">
        <f>INDEX($A$94:$H$106,MATCH($L103,$B$94:$B$106,0),MATCH($AO$93,$A$94:$H$94,0))*고양시_Modal_split!F$5 * 0.01</f>
        <v>2.0346118874671322</v>
      </c>
      <c r="AS103" s="213">
        <f>INDEX($A$94:$H$106,MATCH($L103,$B$94:$B$106,0),MATCH($AO$93,$A$94:$H$94,0))*고양시_Modal_split!G$5 * 0.01</f>
        <v>0.6297608223112553</v>
      </c>
      <c r="AT103" s="213">
        <f>INDEX($A$94:$H$106,MATCH($L103,$B$94:$B$106,0),MATCH($AO$93,$A$94:$H$94,0))*고양시_Modal_split!H$5 * 0.01</f>
        <v>6.7820396248904402E-2</v>
      </c>
      <c r="AU103" s="213">
        <f>INDEX($A$94:$H$106,MATCH($L103,$B$94:$B$106,0),MATCH($AO$93,$A$94:$H$94,0))*고양시_Modal_split!I$5 * 0.01</f>
        <v>2.6837499658495028</v>
      </c>
      <c r="AV103" s="213">
        <f>INDEX($A$94:$H$106,MATCH($L103,$B$94:$B$106,0),MATCH($AO$93,$A$94:$H$94,0))*고양시_Modal_split!J$5 * 0.01</f>
        <v>6.0747697782947236</v>
      </c>
      <c r="AW103" s="213">
        <f>INDEX($A$94:$H$106,MATCH($L103,$B$94:$B$106,0),MATCH($AO$93,$A$94:$H$94,0))*고양시_Modal_split!K$5 * 0.01</f>
        <v>1.9377256071115546E-2</v>
      </c>
      <c r="AX103" s="213">
        <f>INDEX($A$94:$H$106,MATCH($L103,$B$94:$B$106,0),MATCH($AO$93,$A$94:$H$94,0))*고양시_Modal_split!L$5 * 0.01</f>
        <v>2.470600149067232</v>
      </c>
      <c r="AY103" s="213">
        <f>INDEX($A$94:$H$106,MATCH($L103,$B$94:$B$106,0),MATCH($AO$93,$A$94:$H$94,0))*고양시_Modal_split!M$5 * 0.01</f>
        <v>0.64913807838237081</v>
      </c>
      <c r="AZ103" s="213">
        <f>INDEX($A$94:$H$106,MATCH($L103,$B$94:$B$106,0),MATCH($AO$93,$A$94:$H$94,0))*고양시_Modal_split!N$5 * 0.01</f>
        <v>0.1647066766044821</v>
      </c>
      <c r="BA103" s="213">
        <f>INDEX($A$94:$H$106,MATCH($L103,$B$94:$B$106,0),MATCH($AO$93,$A$94:$H$94,0))*고양시_Modal_split!O$5 * 0.01</f>
        <v>1.492048717475897</v>
      </c>
      <c r="BB103" s="213">
        <f>INDEX($A$94:$H$106,MATCH($L103,$B$94:$B$106,0),MATCH($AO$93,$A$94:$H$94,0))*고양시_Modal_split!P$5 * 0.01</f>
        <v>96.886280355577711</v>
      </c>
      <c r="BC103" s="213">
        <f>INDEX($A$94:$H$106,MATCH($L103,$B$94:$B$106,0),MATCH($BC$93,$A$94:$H$94,0))*고양시_Modal_split!C$6 * 0.01</f>
        <v>0</v>
      </c>
      <c r="BD103" s="207">
        <f>INDEX($A$94:$H$106,MATCH($L103,$B$94:$B$106,0),MATCH($BC$93,$A$94:$H$94,0))*고양시_Modal_split!D$6 * 0.01</f>
        <v>0.12608412063245716</v>
      </c>
      <c r="BE103" s="207">
        <f>INDEX($A$94:$H$106,MATCH($L103,$B$94:$B$106,0),MATCH($BC$93,$A$94:$H$94,0))*고양시_Modal_split!E$6 * 0.01</f>
        <v>6.5470561371762566E-4</v>
      </c>
      <c r="BF103" s="207">
        <f>INDEX($A$94:$H$106,MATCH($L103,$B$94:$B$106,0),MATCH($BC$93,$A$94:$H$94,0))*고양시_Modal_split!F$6 * 0.01</f>
        <v>1.8575368575244264E-3</v>
      </c>
      <c r="BG103" s="207">
        <f>INDEX($A$94:$H$106,MATCH($L103,$B$94:$B$106,0),MATCH($BC$93,$A$94:$H$94,0))*고양시_Modal_split!G$6 * 0.01</f>
        <v>0</v>
      </c>
      <c r="BH103" s="207">
        <f>INDEX($A$94:$H$106,MATCH($L103,$B$94:$B$106,0),MATCH($BC$93,$A$94:$H$94,0))*고양시_Modal_split!H$6 * 0.01</f>
        <v>8.0848530438153328E-3</v>
      </c>
      <c r="BI103" s="207">
        <f>INDEX($A$94:$H$106,MATCH($L103,$B$94:$B$106,0),MATCH($BC$93,$A$94:$H$94,0))*고양시_Modal_split!I$6 * 0.01</f>
        <v>5.3899020292102204E-3</v>
      </c>
      <c r="BJ103" s="207">
        <f>INDEX($A$94:$H$106,MATCH($L103,$B$94:$B$106,0),MATCH($BC$93,$A$94:$H$94,0))*고양시_Modal_split!J$6 * 0.01</f>
        <v>7.5215017017792344E-3</v>
      </c>
      <c r="BK103" s="207">
        <f>INDEX($A$94:$H$106,MATCH($L103,$B$94:$B$106,0),MATCH($BC$93,$A$94:$H$94,0))*고양시_Modal_split!K$6 * 0.01</f>
        <v>0</v>
      </c>
      <c r="BL103" s="207">
        <f>INDEX($A$94:$H$106,MATCH($L103,$B$94:$B$106,0),MATCH($BC$93,$A$94:$H$94,0))*고양시_Modal_split!L$6 * 0.01</f>
        <v>1.1571541079660361E-3</v>
      </c>
      <c r="BM103" s="207">
        <f>INDEX($A$94:$H$106,MATCH($L103,$B$94:$B$106,0),MATCH($BC$93,$A$94:$H$94,0))*고양시_Modal_split!M$6 * 0.01</f>
        <v>1.3855397871698591E-3</v>
      </c>
      <c r="BN103" s="207">
        <f>INDEX($A$94:$H$106,MATCH($L103,$B$94:$B$106,0),MATCH($BC$93,$A$94:$H$94,0))*고양시_Modal_split!N$6 * 0.01</f>
        <v>0</v>
      </c>
      <c r="BO103" s="207">
        <f>INDEX($A$94:$H$106,MATCH($L103,$B$94:$B$106,0),MATCH($BC$93,$A$94:$H$94,0))*고양시_Modal_split!O$6 * 0.01</f>
        <v>1.2180569557537222E-4</v>
      </c>
      <c r="BP103" s="214">
        <f>INDEX($A$94:$H$106,MATCH($L103,$B$94:$B$106,0),MATCH($BC$93,$A$94:$H$94,0))*고양시_Modal_split!P$6 * 0.01</f>
        <v>0.15225711946921527</v>
      </c>
      <c r="BQ103" s="213">
        <f>INDEX($A$94:$H$106,MATCH($L103,$B$94:$B$106,0),MATCH($BQ$93,$A$94:$H$94,0))*고양시_Modal_split!C$7 * 0.01</f>
        <v>0</v>
      </c>
      <c r="BR103" s="213">
        <f>INDEX($A$94:$H$106,MATCH($L103,$B$94:$B$106,0),MATCH($BQ$93,$A$94:$H$94,0))*고양시_Modal_split!D$7 * 0.01</f>
        <v>0.35247861506277822</v>
      </c>
      <c r="BS103" s="213">
        <f>INDEX($A$94:$H$106,MATCH($L103,$B$94:$B$106,0),MATCH($BQ$93,$A$94:$H$94,0))*고양시_Modal_split!E$7 * 0.01</f>
        <v>1.7198287516933856E-2</v>
      </c>
      <c r="BT103" s="213">
        <f>INDEX($A$94:$H$106,MATCH($L103,$B$94:$B$106,0),MATCH($BQ$93,$A$94:$H$94,0))*고양시_Modal_split!F$7 * 0.01</f>
        <v>5.7519356243925946E-3</v>
      </c>
      <c r="BU103" s="213">
        <f>INDEX($A$94:$H$106,MATCH($L103,$B$94:$B$106,0),MATCH($BQ$93,$A$94:$H$94,0))*고양시_Modal_split!G$7 * 0.01</f>
        <v>2.4158129622448895E-3</v>
      </c>
      <c r="BV103" s="213">
        <f>INDEX($A$94:$H$106,MATCH($L103,$B$94:$B$106,0),MATCH($BQ$93,$A$94:$H$94,0))*고양시_Modal_split!H$7 * 0.01</f>
        <v>3.2153320140354602E-2</v>
      </c>
      <c r="BW103" s="213">
        <f>INDEX($A$94:$H$106,MATCH($L103,$B$94:$B$106,0),MATCH($BQ$93,$A$94:$H$94,0))*고양시_Modal_split!I$7 * 0.01</f>
        <v>0.10738863810740976</v>
      </c>
      <c r="BX103" s="213">
        <f>INDEX($A$94:$H$106,MATCH($L103,$B$94:$B$106,0),MATCH($BQ$93,$A$94:$H$94,0))*고양시_Modal_split!J$7 * 0.01</f>
        <v>1.150387124878519E-4</v>
      </c>
      <c r="BY103" s="213">
        <f>INDEX($A$94:$H$106,MATCH($L103,$B$94:$B$106,0),MATCH($BQ$93,$A$94:$H$94,0))*고양시_Modal_split!K$7 * 0.01</f>
        <v>4.4289904307822973E-2</v>
      </c>
      <c r="BZ103" s="213">
        <f>INDEX($A$94:$H$106,MATCH($L103,$B$94:$B$106,0),MATCH($BQ$93,$A$94:$H$94,0))*고양시_Modal_split!L$7 * 0.01</f>
        <v>4.0263549370748156E-4</v>
      </c>
      <c r="CA103" s="213">
        <f>INDEX($A$94:$H$106,MATCH($L103,$B$94:$B$106,0),MATCH($BQ$93,$A$94:$H$94,0))*고양시_Modal_split!M$7 * 0.01</f>
        <v>1.0756119617614152E-2</v>
      </c>
      <c r="CB103" s="213">
        <f>INDEX($A$94:$H$106,MATCH($L103,$B$94:$B$106,0),MATCH($BQ$93,$A$94:$H$94,0))*고양시_Modal_split!N$7 * 0.01</f>
        <v>2.2432548935131117E-3</v>
      </c>
      <c r="CC103" s="213">
        <f>INDEX($A$94:$H$106,MATCH($L103,$B$94:$B$106,0),MATCH($BQ$93,$A$94:$H$94,0))*고양시_Modal_split!O$7 * 0.01</f>
        <v>0</v>
      </c>
      <c r="CD103" s="213">
        <f>INDEX($A$94:$H$106,MATCH($L103,$B$94:$B$106,0),MATCH($BQ$93,$A$94:$H$94,0))*고양시_Modal_split!P$7 * 0.01</f>
        <v>0.57519356243925945</v>
      </c>
      <c r="CE103" s="218">
        <f t="shared" si="58"/>
        <v>514.80350647947148</v>
      </c>
      <c r="CF103" s="208">
        <f t="shared" si="39"/>
        <v>722.84630650177689</v>
      </c>
      <c r="CG103" s="208">
        <f t="shared" si="40"/>
        <v>154.06448591412948</v>
      </c>
      <c r="CH103" s="208">
        <f t="shared" si="41"/>
        <v>39.485542558192819</v>
      </c>
      <c r="CI103" s="208">
        <f t="shared" si="42"/>
        <v>200.54573727994699</v>
      </c>
      <c r="CJ103" s="208">
        <f t="shared" si="43"/>
        <v>0.13139451061038943</v>
      </c>
      <c r="CK103" s="208">
        <f t="shared" si="44"/>
        <v>68.056589334845441</v>
      </c>
      <c r="CL103" s="208">
        <f t="shared" si="45"/>
        <v>156.66277903405808</v>
      </c>
      <c r="CM103" s="208">
        <f t="shared" si="46"/>
        <v>0.41370627803866522</v>
      </c>
      <c r="CN103" s="208">
        <f t="shared" si="47"/>
        <v>87.545399122158798</v>
      </c>
      <c r="CO103" s="208">
        <f t="shared" si="48"/>
        <v>12.513434072120875</v>
      </c>
      <c r="CP103" s="208">
        <f t="shared" si="49"/>
        <v>42.622054444970665</v>
      </c>
      <c r="CQ103" s="208">
        <f t="shared" si="50"/>
        <v>20.152011348297336</v>
      </c>
      <c r="CR103" s="219">
        <f t="shared" si="51"/>
        <v>2019.8429468786178</v>
      </c>
      <c r="CS103" s="225">
        <f t="shared" si="59"/>
        <v>0</v>
      </c>
      <c r="CV103" s="265"/>
      <c r="CW103" s="271" t="s">
        <v>23</v>
      </c>
      <c r="CX103" s="267">
        <f>INDEX($M$93:$Z$106,MATCH($CW103,$L$93:$L$106,0),MATCH(CX$94,$M$94:$Z$94,0))/INDEX(고양시_재차인원!$D$4:$H$35,MATCH("고양시",고양시_재차인원!$B$4:$B$35,0),MATCH('A.일산테크노밸리(859991)_수정'!$CX$93,고양시_재차인원!$D$4:$H$4,0))</f>
        <v>97.99011728295801</v>
      </c>
      <c r="CY103" s="267">
        <f>INDEX($M$93:$Z$106,MATCH($CW103,$L$93:$L$106,0),MATCH(CY$94,$M$94:$Z$94,0))/INDEX(고양시_재차인원!$K$4:$O$20,MATCH("경기도",고양시_재차인원!$K$4:$K$20,0),MATCH('A.일산테크노밸리(859991)_수정'!CY$94,고양시_재차인원!$K$4:$O$4,0))</f>
        <v>8.1055717878829845E-4</v>
      </c>
      <c r="CZ103" s="267">
        <f>INDEX($M$93:$Z$106,MATCH($CW103,$L$93:$L$106,0),MATCH(CZ$94,$M$94:$Z$94,0))/INDEX(고양시_재차인원!$K$4:$O$20,MATCH("경기도",고양시_재차인원!$K$4:$K$20,0),MATCH('A.일산테크노밸리(859991)_수정'!CZ$94,고양시_재차인원!$K$4:$O$4,0))</f>
        <v>0.22533489570314696</v>
      </c>
      <c r="DA103" s="267">
        <f>INDEX($M$93:$Z$106,MATCH($CW103,$L$93:$L$106,0),MATCH(DA$94,$M$94:$Z$94,0))/INDEX(고양시_재차인원!$K$4:$O$20,MATCH("경기도",고양시_재차인원!$K$4:$K$20,0),MATCH('A.일산테크노밸리(859991)_수정'!DA$94,고양시_재차인원!$K$4:$O$4,0))</f>
        <v>4.6983028236994429</v>
      </c>
      <c r="DB103" s="268">
        <f>INDEX($AA$93:$AN$106,MATCH($CW103,$L$93:$L$106,0),MATCH(DB$94,$AA$94:$AN$94,0))/INDEX(고양시_재차인원!$D$4:$H$35,MATCH("고양시",고양시_재차인원!$B$4:$B$35,0),MATCH('A.일산테크노밸리(859991)_수정'!$DB$93,고양시_재차인원!$D$4:$H$4,0))</f>
        <v>384.12804692524924</v>
      </c>
      <c r="DC103" s="267">
        <f>INDEX($AA$93:$AN$106,MATCH($CW103,$L$93:$L$106,0),MATCH(DC$94,$AA$94:$AN$94,0))/INDEX(고양시_재차인원!$K$4:$O$20,MATCH("경기도",고양시_재차인원!$K$4:$K$20,0),MATCH('A.일산테크노밸리(859991)_수정'!DC$94,고양시_재차인원!$K$4:$O$4,0))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3" s="267">
        <f>INDEX($AA$93:$AN$106,MATCH($CW103,$L$93:$L$106,0),MATCH(DD$94,$AA$94:$AN$94,0))/INDEX(고양시_재차인원!$K$4:$O$20,MATCH("경기도",고양시_재차인원!$K$4:$K$20,0),MATCH('A.일산테크노밸리(859991)_수정'!DD$94,고양시_재차인원!$K$4:$O$4,0))</f>
        <v>2.0414265085642835</v>
      </c>
      <c r="DE103" s="267">
        <f>INDEX($AA$93:$AN$106,MATCH($CW103,$L$93:$L$106,0),MATCH(DE$94,$AA$94:$AN$94,0))/INDEX(고양시_재차인원!$K$4:$O$20,MATCH("경기도",고양시_재차인원!$K$4:$K$20,0),MATCH('A.일산테크노밸리(859991)_수정'!DE$94,고양시_재차인원!$K$4:$O$4,0))</f>
        <v>52.017189965293802</v>
      </c>
      <c r="DF103" s="268">
        <f>INDEX($AO$93:$BB$106,MATCH($CW103,$L$93:$L$106,0),MATCH(DF$94,$AO$94:$BB$94,0))/INDEX(고양시_재차인원!$D$4:$H$35,MATCH("고양시",고양시_재차인원!$B$4:$B$35,0),MATCH('A.일산테크노밸리(859991)_수정'!$DF$93,고양시_재차인원!$D$4:$H$4,0))</f>
        <v>54.61405095735951</v>
      </c>
      <c r="DG103" s="267">
        <f>INDEX($AO$93:$BB$106,MATCH($CW103,$L$93:$L$106,0),MATCH(DG$94,$AO$94:$BB$94,0))/INDEX(고양시_재차인원!$K$4:$O$20,MATCH("경기도",고양시_재차인원!$K$4:$K$20,0),MATCH('A.일산테크노밸리(859991)_수정'!DG$94,고양시_재차인원!$K$4:$O$4,0))</f>
        <v>2.3556928186489893E-3</v>
      </c>
      <c r="DH103" s="267">
        <f>INDEX($AO$93:$BB$106,MATCH($CW103,$L$93:$L$106,0),MATCH(DH$94,$AO$94:$BB$94,0))/INDEX(고양시_재차인원!$K$4:$O$20,MATCH("경기도",고양시_재차인원!$K$4:$K$20,0),MATCH('A.일산테크노밸리(859991)_수정'!DH$94,고양시_재차인원!$K$4:$O$4,0))</f>
        <v>9.3218130109395725E-2</v>
      </c>
      <c r="DI103" s="267">
        <f>INDEX($AO$93:$BB$106,MATCH($CW103,$L$93:$L$106,0),MATCH(DI$94,$AO$94:$BB$94,0))/INDEX(고양시_재차인원!$K$4:$O$20,MATCH("경기도",고양시_재차인원!$K$4:$K$20,0),MATCH('A.일산테크노밸리(859991)_수정'!DI$94,고양시_재차인원!$K$4:$O$4,0))</f>
        <v>1.6470667660448213</v>
      </c>
      <c r="DJ103" s="268">
        <f>INDEX($BC$93:$BP$106,MATCH($CW103,$L$93:$L$106,0),MATCH(DJ$94,$BC$94:$BP$94,0))/INDEX(고양시_재차인원!$D$4:$H$35,MATCH("고양시",고양시_재차인원!$B$4:$B$35,0),MATCH('A.일산테크노밸리(859991)_수정'!$DJ$93,고양시_재차인원!$D$4:$H$4,0))</f>
        <v>9.2708912229747906E-2</v>
      </c>
      <c r="DK103" s="267">
        <f>INDEX($BC$93:$BP$106,MATCH($CW103,$L$93:$L$106,0),MATCH(DK$94,$BC$94:$BP$94,0))/INDEX(고양시_재차인원!$K$4:$O$20,MATCH("경기도",고양시_재차인원!$K$4:$K$20,0),MATCH('A.일산테크노밸리(859991)_수정'!DK$94,고양시_재차인원!$K$4:$O$4,0))</f>
        <v>2.8082157151147389E-4</v>
      </c>
      <c r="DL103" s="267">
        <f>INDEX($BC$93:$BP$106,MATCH($CW103,$L$93:$L$106,0),MATCH(DL$94,$BC$94:$BP$94,0))/INDEX(고양시_재차인원!$K$4:$O$20,MATCH("경기도",고양시_재차인원!$K$4:$K$20,0),MATCH('A.일산테크노밸리(859991)_수정'!DL$94,고양시_재차인원!$K$4:$O$4,0))</f>
        <v>1.872143810076492E-4</v>
      </c>
      <c r="DM103" s="267">
        <f>INDEX($BC$93:$BP$106,MATCH($CW103,$L$93:$L$106,0),MATCH(DM$94,$BC$94:$BP$94,0))/INDEX(고양시_재차인원!$K$4:$O$20,MATCH("경기도",고양시_재차인원!$K$4:$K$20,0),MATCH('A.일산테크노밸리(859991)_수정'!DM$94,고양시_재차인원!$K$4:$O$4,0))</f>
        <v>7.7143607197735747E-4</v>
      </c>
      <c r="DN103" s="268">
        <f>INDEX($BQ$93:$CD$106,MATCH($CW103,$L$93:$L$106,0),MATCH(DN$94,$BQ$94:$CD$94,0))/INDEX(고양시_재차인원!$D$4:$H$35,MATCH("고양시",고양시_재차인원!$B$4:$B$35,0),MATCH('A.일산테크노밸리(859991)_수정'!$DN$93,고양시_재차인원!$D$4:$H$4,0))</f>
        <v>0.2797449325895065</v>
      </c>
      <c r="DO103" s="267">
        <f>INDEX($BQ$93:$CD$106,MATCH($CW103,$L$93:$L$106,0),MATCH(DO$94,$BQ$94:$CD$94,0))/INDEX(고양시_재차인원!$K$4:$O$20,MATCH("경기도",고양시_재차인원!$K$4:$K$20,0),MATCH('A.일산테크노밸리(859991)_수정'!DO$94,고양시_재차인원!$K$4:$O$4,0))</f>
        <v>1.11682251269033E-3</v>
      </c>
      <c r="DP103" s="267">
        <f>INDEX($BQ$93:$CD$106,MATCH($CW103,$L$93:$L$106,0),MATCH(DP$94,$BQ$94:$CD$94,0))/INDEX(고양시_재차인원!$K$4:$O$20,MATCH("경기도",고양시_재차인원!$K$4:$K$20,0),MATCH('A.일산테크노밸리(859991)_수정'!DP$94,고양시_재차인원!$K$4:$O$4,0))</f>
        <v>3.7300673187707456E-3</v>
      </c>
      <c r="DQ103" s="267">
        <f>INDEX($BQ$93:$CD$106,MATCH($CW103,$L$93:$L$106,0),MATCH(DQ$94,$BQ$94:$CD$94,0))/INDEX(고양시_재차인원!$K$4:$O$20,MATCH("경기도",고양시_재차인원!$K$4:$K$20,0),MATCH('A.일산테크노밸리(859991)_수정'!DQ$94,고양시_재차인원!$K$4:$O$4,0))</f>
        <v>2.6842366247165436E-4</v>
      </c>
      <c r="DR103" s="269">
        <f t="shared" si="60"/>
        <v>537.10466901038615</v>
      </c>
      <c r="DS103" s="270">
        <f t="shared" si="52"/>
        <v>4.563894081639092E-3</v>
      </c>
      <c r="DT103" s="270">
        <f t="shared" si="53"/>
        <v>2.3638968160766045</v>
      </c>
      <c r="DU103" s="270">
        <f t="shared" si="54"/>
        <v>58.363599414772516</v>
      </c>
      <c r="DW103" s="278"/>
      <c r="DX103" s="278" t="s">
        <v>481</v>
      </c>
      <c r="DY103" s="281">
        <f>DR105+DU105</f>
        <v>100.51083627981085</v>
      </c>
      <c r="DZ103" s="281">
        <f>DS105+DT105</f>
        <v>0.39977943292170554</v>
      </c>
      <c r="EC103" s="412" t="s">
        <v>15</v>
      </c>
      <c r="ED103" s="412" t="s">
        <v>574</v>
      </c>
      <c r="EE103" s="412">
        <v>10018.5584</v>
      </c>
      <c r="EF103" s="412">
        <v>4.6530094391220855E-2</v>
      </c>
      <c r="EG103" s="413">
        <v>859010</v>
      </c>
      <c r="EH103" s="414">
        <f t="shared" si="55"/>
        <v>383.11927070413509</v>
      </c>
      <c r="EI103" s="415">
        <f t="shared" si="56"/>
        <v>1.5238476810310022</v>
      </c>
      <c r="EJ103" s="402">
        <v>0</v>
      </c>
      <c r="EM103" s="278" t="s">
        <v>15</v>
      </c>
      <c r="EN103" s="278" t="s">
        <v>574</v>
      </c>
      <c r="EO103" s="278">
        <v>10018.5584</v>
      </c>
      <c r="EP103" s="278">
        <v>4.6530094391220855E-2</v>
      </c>
      <c r="EQ103" s="289">
        <v>859010</v>
      </c>
      <c r="ER103" s="290">
        <f t="shared" si="37"/>
        <v>383.11927070413509</v>
      </c>
      <c r="ES103" s="291">
        <f t="shared" si="38"/>
        <v>1.5238476810310022</v>
      </c>
      <c r="ET103" s="402">
        <v>0</v>
      </c>
      <c r="EV103" s="34"/>
      <c r="EW103" s="34"/>
      <c r="EX103" s="34"/>
      <c r="EY103" s="34"/>
      <c r="EZ103" s="378"/>
      <c r="FA103" s="401"/>
      <c r="FB103" s="402"/>
      <c r="FC103" s="402"/>
    </row>
    <row r="104" spans="1:159" ht="16.5" customHeight="1">
      <c r="A104" s="205"/>
      <c r="B104" s="205" t="s">
        <v>24</v>
      </c>
      <c r="C104" s="400">
        <f>'A.일산테크노밸리(859991)_수정'!$P37*KTDB_TripDistribution_2035!T$12 * (1+KTDB_발생량도착량_증가율!$D$8 *5) * (1+KTDB_발생량도착량_증가율!$E$8 *5)</f>
        <v>124.92400306403724</v>
      </c>
      <c r="D104" s="400">
        <f>'A.일산테크노밸리(859991)_수정'!$P37*KTDB_TripDistribution_2035!U$12 * (1+KTDB_발생량도착량_증가율!$D$8 *5) * (1+KTDB_발생량도착량_증가율!$E$8 *5)</f>
        <v>904.1005673396304</v>
      </c>
      <c r="E104" s="400">
        <f>'A.일산테크노밸리(859991)_수정'!$P37*KTDB_TripDistribution_2035!V$12 * (1+KTDB_발생량도착량_증가율!$D$8 *5) * (1+KTDB_발생량도착량_증가율!$E$8 *5)</f>
        <v>51.866011711450085</v>
      </c>
      <c r="F104" s="400">
        <f>'A.일산테크노밸리(859991)_수정'!$P37*KTDB_TripDistribution_2035!W$12 * (1+KTDB_발생량도착량_증가율!$D$8 *5) * (1+KTDB_발생량도착량_증가율!$E$8 *5)</f>
        <v>8.1507614004373813E-2</v>
      </c>
      <c r="G104" s="400">
        <f>'A.일산테크노밸리(859991)_수정'!$P37*KTDB_TripDistribution_2035!X$12 * (1+KTDB_발생량도착량_증가율!$D$8 *5) * (1+KTDB_발생량도착량_증가율!$E$8 *5)</f>
        <v>0.30791765290541318</v>
      </c>
      <c r="H104" s="400">
        <f>'A.일산테크노밸리(859991)_수정'!$P37*KTDB_TripDistribution_2035!Y$12 * (1+KTDB_발생량도착량_증가율!$D$8 *5) * (1+KTDB_발생량도착량_증가율!$E$8 *5)</f>
        <v>1081.2800073820276</v>
      </c>
      <c r="J104" s="230">
        <f t="shared" si="57"/>
        <v>1081.2800073820274</v>
      </c>
      <c r="K104" s="206"/>
      <c r="L104" s="209" t="s">
        <v>24</v>
      </c>
      <c r="M104" s="213">
        <f>INDEX($A$94:$H$106,MATCH($L104,$B$94:$B$106,0),MATCH($M$93,$A$94:$H$94,0))*고양시_Modal_split!C$3 * 0.01</f>
        <v>0.34978720857930418</v>
      </c>
      <c r="N104" s="213">
        <f>INDEX($A$94:$H$106,MATCH($L104,$B$94:$B$106,0),MATCH($M$93,$A$94:$H$94,0))*고양시_Modal_split!D$3 * 0.01</f>
        <v>58.751758641016714</v>
      </c>
      <c r="O104" s="213">
        <f>INDEX($A$94:$H$106,MATCH($L104,$B$94:$B$106,0),MATCH($M$93,$A$94:$H$94,0))*고양시_Modal_split!E$3 * 0.01</f>
        <v>7.1081757743437191</v>
      </c>
      <c r="P104" s="213">
        <f>INDEX($A$94:$H$106,MATCH($L104,$B$94:$B$106,0),MATCH($M$93,$A$94:$H$94,0))*고양시_Modal_split!F$3 * 0.01</f>
        <v>11.455531080972214</v>
      </c>
      <c r="Q104" s="213">
        <f>INDEX($A$94:$H$106,MATCH($L104,$B$94:$B$106,0),MATCH($M$93,$A$94:$H$94,0))*고양시_Modal_split!G$3 * 0.01</f>
        <v>1.1493008281891424</v>
      </c>
      <c r="R104" s="213">
        <f>INDEX($A$94:$H$106,MATCH($L104,$B$94:$B$106,0),MATCH($M$93,$A$94:$H$94,0))*고양시_Modal_split!H$3 * 0.01</f>
        <v>1.2492400306403724E-2</v>
      </c>
      <c r="S104" s="213">
        <f>INDEX($A$94:$H$106,MATCH($L104,$B$94:$B$106,0),MATCH($M$93,$A$94:$H$94,0))*고양시_Modal_split!I$3 * 0.01</f>
        <v>3.472887285180235</v>
      </c>
      <c r="T104" s="213">
        <f>INDEX($A$94:$H$106,MATCH($L104,$B$94:$B$106,0),MATCH($M$93,$A$94:$H$94,0))*고양시_Modal_split!J$3 * 0.01</f>
        <v>38.026866532692942</v>
      </c>
      <c r="U104" s="213">
        <f>INDEX($A$94:$H$106,MATCH($L104,$B$94:$B$106,0),MATCH($M$93,$A$94:$H$94,0))*고양시_Modal_split!K$3 * 0.01</f>
        <v>0.18738600459605587</v>
      </c>
      <c r="V104" s="213">
        <f>INDEX($A$94:$H$106,MATCH($L104,$B$94:$B$106,0),MATCH($M$93,$A$94:$H$94,0))*고양시_Modal_split!L$3 * 0.01</f>
        <v>3.7727048925339246</v>
      </c>
      <c r="W104" s="213">
        <f>INDEX($A$94:$H$106,MATCH($L104,$B$94:$B$106,0),MATCH($M$93,$A$94:$H$94,0))*고양시_Modal_split!M$3 * 0.01</f>
        <v>0.28732520704728559</v>
      </c>
      <c r="X104" s="213">
        <f>INDEX($A$94:$H$106,MATCH($L104,$B$94:$B$106,0),MATCH($M$93,$A$94:$H$94,0))*고양시_Modal_split!N$3 * 0.01</f>
        <v>0.12492400306403724</v>
      </c>
      <c r="Y104" s="213">
        <f>INDEX($A$94:$H$106,MATCH($L104,$B$94:$B$106,0),MATCH($M$93,$A$94:$H$94,0))*고양시_Modal_split!O$3 * 0.01</f>
        <v>0.22486320551526703</v>
      </c>
      <c r="Z104" s="213">
        <f>INDEX($A$94:$H$106,MATCH($L104,$B$94:$B$106,0),MATCH($M$93,$A$94:$H$94,0))*고양시_Modal_split!P$3 * 0.01</f>
        <v>124.92400306403725</v>
      </c>
      <c r="AA104" s="213">
        <f>INDEX($A$94:$H$106,MATCH($L104,$B$94:$B$106,0),MATCH($AA$93,$A$94:$H$94,0))*고양시_Modal_split!C$4 * 0.01</f>
        <v>275.2082126981835</v>
      </c>
      <c r="AB104" s="213">
        <f>INDEX($A$94:$H$106,MATCH($L104,$B$94:$B$106,0),MATCH($AA$93,$A$94:$H$94,0))*고양시_Modal_split!D$4 * 0.01</f>
        <v>289.9450519458195</v>
      </c>
      <c r="AC104" s="213">
        <f>INDEX($A$94:$H$106,MATCH($L104,$B$94:$B$106,0),MATCH($AA$93,$A$94:$H$94,0))*고양시_Modal_split!E$4 * 0.01</f>
        <v>70.248614082289293</v>
      </c>
      <c r="AD104" s="213">
        <f>INDEX($A$94:$H$106,MATCH($L104,$B$94:$B$106,0),MATCH($AA$93,$A$94:$H$94,0))*고양시_Modal_split!F$4 * 0.01</f>
        <v>8.5889553897264896</v>
      </c>
      <c r="AE104" s="213">
        <f>INDEX($A$94:$H$106,MATCH($L104,$B$94:$B$106,0),MATCH($AA$93,$A$94:$H$94,0))*고양시_Modal_split!G$4 * 0.01</f>
        <v>105.87017643547071</v>
      </c>
      <c r="AF104" s="213">
        <f>INDEX($A$94:$H$106,MATCH($L104,$B$94:$B$106,0),MATCH($AA$93,$A$94:$H$94,0))*고양시_Modal_split!H$4 * 0.01</f>
        <v>0</v>
      </c>
      <c r="AG104" s="213">
        <f>INDEX($A$94:$H$106,MATCH($L104,$B$94:$B$106,0),MATCH($AA$93,$A$94:$H$94,0))*고양시_Modal_split!I$4 * 0.01</f>
        <v>31.462699743419137</v>
      </c>
      <c r="AH104" s="213">
        <f>INDEX($A$94:$H$106,MATCH($L104,$B$94:$B$106,0),MATCH($AA$93,$A$94:$H$94,0))*고양시_Modal_split!J$4 * 0.01</f>
        <v>42.58313672169659</v>
      </c>
      <c r="AI104" s="213">
        <f>INDEX($A$94:$H$106,MATCH($L104,$B$94:$B$106,0),MATCH($AA$93,$A$94:$H$94,0))*고양시_Modal_split!K$4 * 0.01</f>
        <v>0</v>
      </c>
      <c r="AJ104" s="213">
        <f>INDEX($A$94:$H$106,MATCH($L104,$B$94:$B$106,0),MATCH($AA$93,$A$94:$H$94,0))*고양시_Modal_split!L$4 * 0.01</f>
        <v>41.76944621109093</v>
      </c>
      <c r="AK104" s="213">
        <f>INDEX($A$94:$H$106,MATCH($L104,$B$94:$B$106,0),MATCH($AA$93,$A$94:$H$94,0))*고양시_Modal_split!M$4 * 0.01</f>
        <v>6.0574738011755249</v>
      </c>
      <c r="AL104" s="213">
        <f>INDEX($A$94:$H$106,MATCH($L104,$B$94:$B$106,0),MATCH($AA$93,$A$94:$H$94,0))*고양시_Modal_split!N$4 * 0.01</f>
        <v>22.602514183490761</v>
      </c>
      <c r="AM104" s="213">
        <f>INDEX($A$94:$H$106,MATCH($L104,$B$94:$B$106,0),MATCH($AA$93,$A$94:$H$94,0))*고양시_Modal_split!O$4 * 0.01</f>
        <v>9.7642861272680097</v>
      </c>
      <c r="AN104" s="213">
        <f>INDEX($A$94:$H$106,MATCH($L104,$B$94:$B$106,0),MATCH($AA$93,$A$94:$H$94,0))*고양시_Modal_split!P$4 * 0.01</f>
        <v>904.1005673396304</v>
      </c>
      <c r="AO104" s="213">
        <f>INDEX($A$94:$H$106,MATCH($L104,$B$94:$B$106,0),MATCH($AO$93,$A$94:$H$94,0))*고양시_Modal_split!C$5 * 0.01</f>
        <v>3.1119607026870048E-2</v>
      </c>
      <c r="AP104" s="213">
        <f>INDEX($A$94:$H$106,MATCH($L104,$B$94:$B$106,0),MATCH($AO$93,$A$94:$H$94,0))*고양시_Modal_split!D$5 * 0.01</f>
        <v>38.007413382150624</v>
      </c>
      <c r="AQ104" s="213">
        <f>INDEX($A$94:$H$106,MATCH($L104,$B$94:$B$106,0),MATCH($AO$93,$A$94:$H$94,0))*고양시_Modal_split!E$5 * 0.01</f>
        <v>5.108802153577833</v>
      </c>
      <c r="AR104" s="213">
        <f>INDEX($A$94:$H$106,MATCH($L104,$B$94:$B$106,0),MATCH($AO$93,$A$94:$H$94,0))*고양시_Modal_split!F$5 * 0.01</f>
        <v>1.0891862459404518</v>
      </c>
      <c r="AS104" s="213">
        <f>INDEX($A$94:$H$106,MATCH($L104,$B$94:$B$106,0),MATCH($AO$93,$A$94:$H$94,0))*고양시_Modal_split!G$5 * 0.01</f>
        <v>0.33712907612442555</v>
      </c>
      <c r="AT104" s="213">
        <f>INDEX($A$94:$H$106,MATCH($L104,$B$94:$B$106,0),MATCH($AO$93,$A$94:$H$94,0))*고양시_Modal_split!H$5 * 0.01</f>
        <v>3.6306208198015055E-2</v>
      </c>
      <c r="AU104" s="213">
        <f>INDEX($A$94:$H$106,MATCH($L104,$B$94:$B$106,0),MATCH($AO$93,$A$94:$H$94,0))*고양시_Modal_split!I$5 * 0.01</f>
        <v>1.4366885244071674</v>
      </c>
      <c r="AV104" s="213">
        <f>INDEX($A$94:$H$106,MATCH($L104,$B$94:$B$106,0),MATCH($AO$93,$A$94:$H$94,0))*고양시_Modal_split!J$5 * 0.01</f>
        <v>3.2519989343079203</v>
      </c>
      <c r="AW104" s="213">
        <f>INDEX($A$94:$H$106,MATCH($L104,$B$94:$B$106,0),MATCH($AO$93,$A$94:$H$94,0))*고양시_Modal_split!K$5 * 0.01</f>
        <v>1.0373202342290017E-2</v>
      </c>
      <c r="AX104" s="213">
        <f>INDEX($A$94:$H$106,MATCH($L104,$B$94:$B$106,0),MATCH($AO$93,$A$94:$H$94,0))*고양시_Modal_split!L$5 * 0.01</f>
        <v>1.3225832986419772</v>
      </c>
      <c r="AY104" s="213">
        <f>INDEX($A$94:$H$106,MATCH($L104,$B$94:$B$106,0),MATCH($AO$93,$A$94:$H$94,0))*고양시_Modal_split!M$5 * 0.01</f>
        <v>0.34750227846671555</v>
      </c>
      <c r="AZ104" s="213">
        <f>INDEX($A$94:$H$106,MATCH($L104,$B$94:$B$106,0),MATCH($AO$93,$A$94:$H$94,0))*고양시_Modal_split!N$5 * 0.01</f>
        <v>8.8172219909465138E-2</v>
      </c>
      <c r="BA104" s="213">
        <f>INDEX($A$94:$H$106,MATCH($L104,$B$94:$B$106,0),MATCH($AO$93,$A$94:$H$94,0))*고양시_Modal_split!O$5 * 0.01</f>
        <v>0.79873658035633133</v>
      </c>
      <c r="BB104" s="213">
        <f>INDEX($A$94:$H$106,MATCH($L104,$B$94:$B$106,0),MATCH($AO$93,$A$94:$H$94,0))*고양시_Modal_split!P$5 * 0.01</f>
        <v>51.866011711450078</v>
      </c>
      <c r="BC104" s="213">
        <f>INDEX($A$94:$H$106,MATCH($L104,$B$94:$B$106,0),MATCH($BC$93,$A$94:$H$94,0))*고양시_Modal_split!C$6 * 0.01</f>
        <v>0</v>
      </c>
      <c r="BD104" s="207">
        <f>INDEX($A$94:$H$106,MATCH($L104,$B$94:$B$106,0),MATCH($BC$93,$A$94:$H$94,0))*고양시_Modal_split!D$6 * 0.01</f>
        <v>6.7496455157021948E-2</v>
      </c>
      <c r="BE104" s="207">
        <f>INDEX($A$94:$H$106,MATCH($L104,$B$94:$B$106,0),MATCH($BC$93,$A$94:$H$94,0))*고양시_Modal_split!E$6 * 0.01</f>
        <v>3.5048274021880736E-4</v>
      </c>
      <c r="BF104" s="207">
        <f>INDEX($A$94:$H$106,MATCH($L104,$B$94:$B$106,0),MATCH($BC$93,$A$94:$H$94,0))*고양시_Modal_split!F$6 * 0.01</f>
        <v>9.9439289085336046E-4</v>
      </c>
      <c r="BG104" s="207">
        <f>INDEX($A$94:$H$106,MATCH($L104,$B$94:$B$106,0),MATCH($BC$93,$A$94:$H$94,0))*고양시_Modal_split!G$6 * 0.01</f>
        <v>0</v>
      </c>
      <c r="BH104" s="207">
        <f>INDEX($A$94:$H$106,MATCH($L104,$B$94:$B$106,0),MATCH($BC$93,$A$94:$H$94,0))*고양시_Modal_split!H$6 * 0.01</f>
        <v>4.32805430363225E-3</v>
      </c>
      <c r="BI104" s="207">
        <f>INDEX($A$94:$H$106,MATCH($L104,$B$94:$B$106,0),MATCH($BC$93,$A$94:$H$94,0))*고양시_Modal_split!I$6 * 0.01</f>
        <v>2.8853695357548333E-3</v>
      </c>
      <c r="BJ104" s="207">
        <f>INDEX($A$94:$H$106,MATCH($L104,$B$94:$B$106,0),MATCH($BC$93,$A$94:$H$94,0))*고양시_Modal_split!J$6 * 0.01</f>
        <v>4.0264761318160661E-3</v>
      </c>
      <c r="BK104" s="207">
        <f>INDEX($A$94:$H$106,MATCH($L104,$B$94:$B$106,0),MATCH($BC$93,$A$94:$H$94,0))*고양시_Modal_split!K$6 * 0.01</f>
        <v>0</v>
      </c>
      <c r="BL104" s="207">
        <f>INDEX($A$94:$H$106,MATCH($L104,$B$94:$B$106,0),MATCH($BC$93,$A$94:$H$94,0))*고양시_Modal_split!L$6 * 0.01</f>
        <v>6.1945786643324103E-4</v>
      </c>
      <c r="BM104" s="207">
        <f>INDEX($A$94:$H$106,MATCH($L104,$B$94:$B$106,0),MATCH($BC$93,$A$94:$H$94,0))*고양시_Modal_split!M$6 * 0.01</f>
        <v>7.4171928743980173E-4</v>
      </c>
      <c r="BN104" s="207">
        <f>INDEX($A$94:$H$106,MATCH($L104,$B$94:$B$106,0),MATCH($BC$93,$A$94:$H$94,0))*고양시_Modal_split!N$6 * 0.01</f>
        <v>0</v>
      </c>
      <c r="BO104" s="207">
        <f>INDEX($A$94:$H$106,MATCH($L104,$B$94:$B$106,0),MATCH($BC$93,$A$94:$H$94,0))*고양시_Modal_split!O$6 * 0.01</f>
        <v>6.5206091203499057E-5</v>
      </c>
      <c r="BP104" s="214">
        <f>INDEX($A$94:$H$106,MATCH($L104,$B$94:$B$106,0),MATCH($BC$93,$A$94:$H$94,0))*고양시_Modal_split!P$6 * 0.01</f>
        <v>8.1507614004373827E-2</v>
      </c>
      <c r="BQ104" s="213">
        <f>INDEX($A$94:$H$106,MATCH($L104,$B$94:$B$106,0),MATCH($BQ$93,$A$94:$H$94,0))*고양시_Modal_split!C$7 * 0.01</f>
        <v>0</v>
      </c>
      <c r="BR104" s="213">
        <f>INDEX($A$94:$H$106,MATCH($L104,$B$94:$B$106,0),MATCH($BQ$93,$A$94:$H$94,0))*고양시_Modal_split!D$7 * 0.01</f>
        <v>0.18869193770043718</v>
      </c>
      <c r="BS104" s="213">
        <f>INDEX($A$94:$H$106,MATCH($L104,$B$94:$B$106,0),MATCH($BQ$93,$A$94:$H$94,0))*고양시_Modal_split!E$7 * 0.01</f>
        <v>9.2067378218718531E-3</v>
      </c>
      <c r="BT104" s="213">
        <f>INDEX($A$94:$H$106,MATCH($L104,$B$94:$B$106,0),MATCH($BQ$93,$A$94:$H$94,0))*고양시_Modal_split!F$7 * 0.01</f>
        <v>3.079176529054132E-3</v>
      </c>
      <c r="BU104" s="213">
        <f>INDEX($A$94:$H$106,MATCH($L104,$B$94:$B$106,0),MATCH($BQ$93,$A$94:$H$94,0))*고양시_Modal_split!G$7 * 0.01</f>
        <v>1.2932541422027352E-3</v>
      </c>
      <c r="BV104" s="213">
        <f>INDEX($A$94:$H$106,MATCH($L104,$B$94:$B$106,0),MATCH($BQ$93,$A$94:$H$94,0))*고양시_Modal_split!H$7 * 0.01</f>
        <v>1.7212596797412598E-2</v>
      </c>
      <c r="BW104" s="213">
        <f>INDEX($A$94:$H$106,MATCH($L104,$B$94:$B$106,0),MATCH($BQ$93,$A$94:$H$94,0))*고양시_Modal_split!I$7 * 0.01</f>
        <v>5.7488225797440652E-2</v>
      </c>
      <c r="BX104" s="213">
        <f>INDEX($A$94:$H$106,MATCH($L104,$B$94:$B$106,0),MATCH($BQ$93,$A$94:$H$94,0))*고양시_Modal_split!J$7 * 0.01</f>
        <v>6.1583530581082647E-5</v>
      </c>
      <c r="BY104" s="213">
        <f>INDEX($A$94:$H$106,MATCH($L104,$B$94:$B$106,0),MATCH($BQ$93,$A$94:$H$94,0))*고양시_Modal_split!K$7 * 0.01</f>
        <v>2.3709659273716818E-2</v>
      </c>
      <c r="BZ104" s="213">
        <f>INDEX($A$94:$H$106,MATCH($L104,$B$94:$B$106,0),MATCH($BQ$93,$A$94:$H$94,0))*고양시_Modal_split!L$7 * 0.01</f>
        <v>2.1554235703378919E-4</v>
      </c>
      <c r="CA104" s="213">
        <f>INDEX($A$94:$H$106,MATCH($L104,$B$94:$B$106,0),MATCH($BQ$93,$A$94:$H$94,0))*고양시_Modal_split!M$7 * 0.01</f>
        <v>5.758060109331227E-3</v>
      </c>
      <c r="CB104" s="213">
        <f>INDEX($A$94:$H$106,MATCH($L104,$B$94:$B$106,0),MATCH($BQ$93,$A$94:$H$94,0))*고양시_Modal_split!N$7 * 0.01</f>
        <v>1.2008788463311114E-3</v>
      </c>
      <c r="CC104" s="213">
        <f>INDEX($A$94:$H$106,MATCH($L104,$B$94:$B$106,0),MATCH($BQ$93,$A$94:$H$94,0))*고양시_Modal_split!O$7 * 0.01</f>
        <v>0</v>
      </c>
      <c r="CD104" s="213">
        <f>INDEX($A$94:$H$106,MATCH($L104,$B$94:$B$106,0),MATCH($BQ$93,$A$94:$H$94,0))*고양시_Modal_split!P$7 * 0.01</f>
        <v>0.30791765290541318</v>
      </c>
      <c r="CE104" s="218">
        <f t="shared" si="58"/>
        <v>275.58911951378968</v>
      </c>
      <c r="CF104" s="208">
        <f t="shared" si="39"/>
        <v>386.96041236184425</v>
      </c>
      <c r="CG104" s="208">
        <f t="shared" si="40"/>
        <v>82.475149230772928</v>
      </c>
      <c r="CH104" s="208">
        <f t="shared" si="41"/>
        <v>21.137746286059063</v>
      </c>
      <c r="CI104" s="208">
        <f t="shared" si="42"/>
        <v>107.35789959392648</v>
      </c>
      <c r="CJ104" s="208">
        <f t="shared" si="43"/>
        <v>7.0339259605463625E-2</v>
      </c>
      <c r="CK104" s="208">
        <f t="shared" si="44"/>
        <v>36.432649148339735</v>
      </c>
      <c r="CL104" s="208">
        <f t="shared" si="45"/>
        <v>83.866090248359853</v>
      </c>
      <c r="CM104" s="208">
        <f t="shared" si="46"/>
        <v>0.22146886621206271</v>
      </c>
      <c r="CN104" s="208">
        <f t="shared" si="47"/>
        <v>46.865569402490301</v>
      </c>
      <c r="CO104" s="208">
        <f t="shared" si="48"/>
        <v>6.6988010660862978</v>
      </c>
      <c r="CP104" s="208">
        <f t="shared" si="49"/>
        <v>22.816811285310596</v>
      </c>
      <c r="CQ104" s="208">
        <f t="shared" si="50"/>
        <v>10.787951119230812</v>
      </c>
      <c r="CR104" s="219">
        <f t="shared" si="51"/>
        <v>1081.2800073820274</v>
      </c>
      <c r="CS104" s="225">
        <f t="shared" si="59"/>
        <v>0</v>
      </c>
      <c r="CV104" s="265"/>
      <c r="CW104" s="266" t="s">
        <v>24</v>
      </c>
      <c r="CX104" s="267">
        <f>INDEX($M$93:$Z$106,MATCH($CW104,$L$93:$L$106,0),MATCH(CX$94,$M$94:$Z$94,0))/INDEX(고양시_재차인원!$D$4:$H$35,MATCH("고양시",고양시_재차인원!$B$4:$B$35,0),MATCH('A.일산테크노밸리(859991)_수정'!$CX$93,고양시_재차인원!$D$4:$H$4,0))</f>
        <v>52.456927358050635</v>
      </c>
      <c r="CY104" s="267">
        <f>INDEX($M$93:$Z$106,MATCH($CW104,$L$93:$L$106,0),MATCH(CY$94,$M$94:$Z$94,0))/INDEX(고양시_재차인원!$K$4:$O$20,MATCH("경기도",고양시_재차인원!$K$4:$K$20,0),MATCH('A.일산테크노밸리(859991)_수정'!CY$94,고양시_재차인원!$K$4:$O$4,0))</f>
        <v>4.3391456430718044E-4</v>
      </c>
      <c r="CZ104" s="267">
        <f>INDEX($M$93:$Z$106,MATCH($CW104,$L$93:$L$106,0),MATCH(CZ$94,$M$94:$Z$94,0))/INDEX(고양시_재차인원!$K$4:$O$20,MATCH("경기도",고양시_재차인원!$K$4:$K$20,0),MATCH('A.일산테크노밸리(859991)_수정'!CZ$94,고양시_재차인원!$K$4:$O$4,0))</f>
        <v>0.12062824887739615</v>
      </c>
      <c r="DA104" s="267">
        <f>INDEX($M$93:$Z$106,MATCH($CW104,$L$93:$L$106,0),MATCH(DA$94,$M$94:$Z$94,0))/INDEX(고양시_재차인원!$K$4:$O$20,MATCH("경기도",고양시_재차인원!$K$4:$K$20,0),MATCH('A.일산테크노밸리(859991)_수정'!DA$94,고양시_재차인원!$K$4:$O$4,0))</f>
        <v>2.5151365950226166</v>
      </c>
      <c r="DB104" s="268">
        <f>INDEX($AA$93:$AN$106,MATCH($CW104,$L$93:$L$106,0),MATCH(DB$94,$AA$94:$AN$94,0))/INDEX(고양시_재차인원!$D$4:$H$35,MATCH("고양시",고양시_재차인원!$B$4:$B$35,0),MATCH('A.일산테크노밸리(859991)_수정'!$DB$93,고양시_재차인원!$D$4:$H$4,0))</f>
        <v>205.63478861405639</v>
      </c>
      <c r="DC104" s="267">
        <f>INDEX($AA$93:$AN$106,MATCH($CW104,$L$93:$L$106,0),MATCH(DC$94,$AA$94:$AN$94,0))/INDEX(고양시_재차인원!$K$4:$O$20,MATCH("경기도",고양시_재차인원!$K$4:$K$20,0),MATCH('A.일산테크노밸리(859991)_수정'!DC$94,고양시_재차인원!$K$4:$O$4,0))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4" s="267">
        <f>INDEX($AA$93:$AN$106,MATCH($CW104,$L$93:$L$106,0),MATCH(DD$94,$AA$94:$AN$94,0))/INDEX(고양시_재차인원!$K$4:$O$20,MATCH("경기도",고양시_재차인원!$K$4:$K$20,0),MATCH('A.일산테크노밸리(859991)_수정'!DD$94,고양시_재차인원!$K$4:$O$4,0))</f>
        <v>1.0928343085591921</v>
      </c>
      <c r="DE104" s="267">
        <f>INDEX($AA$93:$AN$106,MATCH($CW104,$L$93:$L$106,0),MATCH(DE$94,$AA$94:$AN$94,0))/INDEX(고양시_재차인원!$K$4:$O$20,MATCH("경기도",고양시_재차인원!$K$4:$K$20,0),MATCH('A.일산테크노밸리(859991)_수정'!DE$94,고양시_재차인원!$K$4:$O$4,0))</f>
        <v>27.84629747406062</v>
      </c>
      <c r="DF104" s="268">
        <f>INDEX($AO$93:$BB$106,MATCH($CW104,$L$93:$L$106,0),MATCH(DF$94,$AO$94:$BB$94,0))/INDEX(고양시_재차인원!$D$4:$H$35,MATCH("고양시",고양시_재차인원!$B$4:$B$35,0),MATCH('A.일산테크노밸리(859991)_수정'!$DF$93,고양시_재차인원!$D$4:$H$4,0))</f>
        <v>29.236471832423554</v>
      </c>
      <c r="DG104" s="267">
        <f>INDEX($AO$93:$BB$106,MATCH($CW104,$L$93:$L$106,0),MATCH(DG$94,$AO$94:$BB$94,0))/INDEX(고양시_재차인원!$K$4:$O$20,MATCH("경기도",고양시_재차인원!$K$4:$K$20,0),MATCH('A.일산테크노밸리(859991)_수정'!DG$94,고양시_재차인원!$K$4:$O$4,0))</f>
        <v>1.2610701006604743E-3</v>
      </c>
      <c r="DH104" s="267">
        <f>INDEX($AO$93:$BB$106,MATCH($CW104,$L$93:$L$106,0),MATCH(DH$94,$AO$94:$BB$94,0))/INDEX(고양시_재차인원!$K$4:$O$20,MATCH("경기도",고양시_재차인원!$K$4:$K$20,0),MATCH('A.일산테크노밸리(859991)_수정'!DH$94,고양시_재차인원!$K$4:$O$4,0))</f>
        <v>4.9902345411850207E-2</v>
      </c>
      <c r="DI104" s="267">
        <f>INDEX($AO$93:$BB$106,MATCH($CW104,$L$93:$L$106,0),MATCH(DI$94,$AO$94:$BB$94,0))/INDEX(고양시_재차인원!$K$4:$O$20,MATCH("경기도",고양시_재차인원!$K$4:$K$20,0),MATCH('A.일산테크노밸리(859991)_수정'!DI$94,고양시_재차인원!$K$4:$O$4,0))</f>
        <v>0.88172219909465144</v>
      </c>
      <c r="DJ104" s="268">
        <f>INDEX($BC$93:$BP$106,MATCH($CW104,$L$93:$L$106,0),MATCH(DJ$94,$BC$94:$BP$94,0))/INDEX(고양시_재차인원!$D$4:$H$35,MATCH("고양시",고양시_재차인원!$B$4:$B$35,0),MATCH('A.일산테크노밸리(859991)_수정'!$DJ$93,고양시_재차인원!$D$4:$H$4,0))</f>
        <v>4.9629746438986724E-2</v>
      </c>
      <c r="DK104" s="267">
        <f>INDEX($BC$93:$BP$106,MATCH($CW104,$L$93:$L$106,0),MATCH(DK$94,$BC$94:$BP$94,0))/INDEX(고양시_재차인원!$K$4:$O$20,MATCH("경기도",고양시_재차인원!$K$4:$K$20,0),MATCH('A.일산테크노밸리(859991)_수정'!DK$94,고양시_재차인원!$K$4:$O$4,0))</f>
        <v>1.5033186188371831E-4</v>
      </c>
      <c r="DL104" s="267">
        <f>INDEX($BC$93:$BP$106,MATCH($CW104,$L$93:$L$106,0),MATCH(DL$94,$BC$94:$BP$94,0))/INDEX(고양시_재차인원!$K$4:$O$20,MATCH("경기도",고양시_재차인원!$K$4:$K$20,0),MATCH('A.일산테크노밸리(859991)_수정'!DL$94,고양시_재차인원!$K$4:$O$4,0))</f>
        <v>1.002212412558122E-4</v>
      </c>
      <c r="DM104" s="267">
        <f>INDEX($BC$93:$BP$106,MATCH($CW104,$L$93:$L$106,0),MATCH(DM$94,$BC$94:$BP$94,0))/INDEX(고양시_재차인원!$K$4:$O$20,MATCH("경기도",고양시_재차인원!$K$4:$K$20,0),MATCH('A.일산테크노밸리(859991)_수정'!DM$94,고양시_재차인원!$K$4:$O$4,0))</f>
        <v>4.1297191095549402E-4</v>
      </c>
      <c r="DN104" s="268">
        <f>INDEX($BQ$93:$CD$106,MATCH($CW104,$L$93:$L$106,0),MATCH(DN$94,$BQ$94:$CD$94,0))/INDEX(고양시_재차인원!$D$4:$H$35,MATCH("고양시",고양시_재차인원!$B$4:$B$35,0),MATCH('A.일산테크노밸리(859991)_수정'!$DN$93,고양시_재차인원!$D$4:$H$4,0))</f>
        <v>0.14975550611145808</v>
      </c>
      <c r="DO104" s="267">
        <f>INDEX($BQ$93:$CD$106,MATCH($CW104,$L$93:$L$106,0),MATCH(DO$94,$BQ$94:$CD$94,0))/INDEX(고양시_재차인원!$K$4:$O$20,MATCH("경기도",고양시_재차인원!$K$4:$K$20,0),MATCH('A.일산테크노밸리(859991)_수정'!DO$94,고양시_재차인원!$K$4:$O$4,0))</f>
        <v>5.9786720380036816E-4</v>
      </c>
      <c r="DP104" s="267">
        <f>INDEX($BQ$93:$CD$106,MATCH($CW104,$L$93:$L$106,0),MATCH(DP$94,$BQ$94:$CD$94,0))/INDEX(고양시_재차인원!$K$4:$O$20,MATCH("경기도",고양시_재차인원!$K$4:$K$20,0),MATCH('A.일산테크노밸리(859991)_수정'!DP$94,고양시_재차인원!$K$4:$O$4,0))</f>
        <v>1.9968122889003352E-3</v>
      </c>
      <c r="DQ104" s="267">
        <f>INDEX($BQ$93:$CD$106,MATCH($CW104,$L$93:$L$106,0),MATCH(DQ$94,$BQ$94:$CD$94,0))/INDEX(고양시_재차인원!$K$4:$O$20,MATCH("경기도",고양시_재차인원!$K$4:$K$20,0),MATCH('A.일산테크노밸리(859991)_수정'!DQ$94,고양시_재차인원!$K$4:$O$4,0))</f>
        <v>1.4369490468919279E-4</v>
      </c>
      <c r="DR104" s="269">
        <f t="shared" si="60"/>
        <v>287.52757305708099</v>
      </c>
      <c r="DS104" s="270">
        <f t="shared" si="52"/>
        <v>2.4431837306517412E-3</v>
      </c>
      <c r="DT104" s="270">
        <f t="shared" si="53"/>
        <v>1.2654619363785944</v>
      </c>
      <c r="DU104" s="270">
        <f t="shared" si="54"/>
        <v>31.243712934993532</v>
      </c>
      <c r="DW104" s="278"/>
      <c r="DX104" s="278"/>
      <c r="DY104" s="281">
        <f>DR106+DU106</f>
        <v>11994.682706275567</v>
      </c>
      <c r="DZ104" s="281">
        <f>DS106+DT106</f>
        <v>47.708561861342602</v>
      </c>
      <c r="EC104" s="412" t="s">
        <v>15</v>
      </c>
      <c r="ED104" s="412" t="s">
        <v>84</v>
      </c>
      <c r="EE104" s="412">
        <v>5030.8546999999999</v>
      </c>
      <c r="EF104" s="412">
        <v>2.3365252236241602E-2</v>
      </c>
      <c r="EG104" s="413">
        <v>859011</v>
      </c>
      <c r="EH104" s="414">
        <f t="shared" si="55"/>
        <v>192.38470314077026</v>
      </c>
      <c r="EI104" s="415">
        <f t="shared" si="56"/>
        <v>0.76520552779319206</v>
      </c>
      <c r="EJ104" s="402">
        <v>0</v>
      </c>
      <c r="EM104" s="278" t="s">
        <v>15</v>
      </c>
      <c r="EN104" s="278" t="s">
        <v>84</v>
      </c>
      <c r="EO104" s="278">
        <v>5030.8546999999999</v>
      </c>
      <c r="EP104" s="278">
        <v>2.3365252236241602E-2</v>
      </c>
      <c r="EQ104" s="289">
        <v>859011</v>
      </c>
      <c r="ER104" s="290">
        <f t="shared" si="37"/>
        <v>192.38470314077026</v>
      </c>
      <c r="ES104" s="291">
        <f t="shared" si="38"/>
        <v>0.76520552779319206</v>
      </c>
      <c r="ET104" s="402">
        <v>0</v>
      </c>
      <c r="EV104" s="34"/>
      <c r="EW104" s="34"/>
      <c r="EX104" s="34"/>
      <c r="EY104" s="34"/>
      <c r="EZ104" s="378"/>
      <c r="FA104" s="401"/>
      <c r="FB104" s="402"/>
      <c r="FC104" s="402"/>
    </row>
    <row r="105" spans="1:159" ht="16.5" customHeight="1">
      <c r="A105" s="205"/>
      <c r="B105" s="205" t="s">
        <v>481</v>
      </c>
      <c r="C105" s="400">
        <f>'A.일산테크노밸리(859991)_수정'!$P38*KTDB_TripDistribution_2035!T$12 * (1+KTDB_발생량도착량_증가율!$D$8 *5) * (1+KTDB_발생량도착량_증가율!$E$8 *5)</f>
        <v>39.389419847872418</v>
      </c>
      <c r="D105" s="400">
        <f>'A.일산테크노밸리(859991)_수정'!$P38*KTDB_TripDistribution_2035!U$12 * (1+KTDB_발생량도착량_증가율!$D$8 *5) * (1+KTDB_발생량도착량_증가율!$E$8 *5)</f>
        <v>285.06928979361396</v>
      </c>
      <c r="E105" s="400">
        <f>'A.일산테크노밸리(859991)_수정'!$P38*KTDB_TripDistribution_2035!V$12 * (1+KTDB_발생량도착량_증가율!$D$8 *5) * (1+KTDB_발생량도착량_증가율!$E$8 *5)</f>
        <v>16.353719549714789</v>
      </c>
      <c r="F105" s="400">
        <f>'A.일산테크노밸리(859991)_수정'!$P38*KTDB_TripDistribution_2035!W$12 * (1+KTDB_발생량도착량_증가율!$D$8 *5) * (1+KTDB_발생량도착량_증가율!$E$8 *5)</f>
        <v>2.5699925955549582E-2</v>
      </c>
      <c r="G105" s="400">
        <f>'A.일산테크노밸리(859991)_수정'!$P38*KTDB_TripDistribution_2035!X$12 * (1+KTDB_발생량도착량_증가율!$D$8 *5) * (1+KTDB_발생량도착량_증가율!$E$8 *5)</f>
        <v>9.7088609165409845E-2</v>
      </c>
      <c r="H105" s="400">
        <f>'A.일산테크노밸리(859991)_수정'!$P38*KTDB_TripDistribution_2035!Y$12 * (1+KTDB_발생량도착량_증가율!$D$8 *5) * (1+KTDB_발생량도착량_증가율!$E$8 *5)</f>
        <v>340.93521772632215</v>
      </c>
      <c r="J105" s="230">
        <f t="shared" si="57"/>
        <v>340.93521772632215</v>
      </c>
      <c r="K105" s="206"/>
      <c r="L105" s="209" t="s">
        <v>481</v>
      </c>
      <c r="M105" s="213">
        <f>INDEX($A$94:$H$106,MATCH($L105,$B$94:$B$106,0),MATCH($M$93,$A$94:$H$94,0))*고양시_Modal_split!C$3 * 0.01</f>
        <v>0.11029037557404277</v>
      </c>
      <c r="N105" s="213">
        <f>INDEX($A$94:$H$106,MATCH($L105,$B$94:$B$106,0),MATCH($M$93,$A$94:$H$94,0))*고양시_Modal_split!D$3 * 0.01</f>
        <v>18.524844154454399</v>
      </c>
      <c r="O105" s="213">
        <f>INDEX($A$94:$H$106,MATCH($L105,$B$94:$B$106,0),MATCH($M$93,$A$94:$H$94,0))*고양시_Modal_split!E$3 * 0.01</f>
        <v>2.2412579893439402</v>
      </c>
      <c r="P105" s="213">
        <f>INDEX($A$94:$H$106,MATCH($L105,$B$94:$B$106,0),MATCH($M$93,$A$94:$H$94,0))*고양시_Modal_split!F$3 * 0.01</f>
        <v>3.6120098000499006</v>
      </c>
      <c r="Q105" s="213">
        <f>INDEX($A$94:$H$106,MATCH($L105,$B$94:$B$106,0),MATCH($M$93,$A$94:$H$94,0))*고양시_Modal_split!G$3 * 0.01</f>
        <v>0.36238266260042623</v>
      </c>
      <c r="R105" s="213">
        <f>INDEX($A$94:$H$106,MATCH($L105,$B$94:$B$106,0),MATCH($M$93,$A$94:$H$94,0))*고양시_Modal_split!H$3 * 0.01</f>
        <v>3.9389419847872418E-3</v>
      </c>
      <c r="S105" s="213">
        <f>INDEX($A$94:$H$106,MATCH($L105,$B$94:$B$106,0),MATCH($M$93,$A$94:$H$94,0))*고양시_Modal_split!I$3 * 0.01</f>
        <v>1.0950258717708532</v>
      </c>
      <c r="T105" s="213">
        <f>INDEX($A$94:$H$106,MATCH($L105,$B$94:$B$106,0),MATCH($M$93,$A$94:$H$94,0))*고양시_Modal_split!J$3 * 0.01</f>
        <v>11.990139401692366</v>
      </c>
      <c r="U105" s="213">
        <f>INDEX($A$94:$H$106,MATCH($L105,$B$94:$B$106,0),MATCH($M$93,$A$94:$H$94,0))*고양시_Modal_split!K$3 * 0.01</f>
        <v>5.908412977180863E-2</v>
      </c>
      <c r="V105" s="213">
        <f>INDEX($A$94:$H$106,MATCH($L105,$B$94:$B$106,0),MATCH($M$93,$A$94:$H$94,0))*고양시_Modal_split!L$3 * 0.01</f>
        <v>1.1895604794057471</v>
      </c>
      <c r="W105" s="213">
        <f>INDEX($A$94:$H$106,MATCH($L105,$B$94:$B$106,0),MATCH($M$93,$A$94:$H$94,0))*고양시_Modal_split!M$3 * 0.01</f>
        <v>9.0595665650106558E-2</v>
      </c>
      <c r="X105" s="213">
        <f>INDEX($A$94:$H$106,MATCH($L105,$B$94:$B$106,0),MATCH($M$93,$A$94:$H$94,0))*고양시_Modal_split!N$3 * 0.01</f>
        <v>3.938941984787242E-2</v>
      </c>
      <c r="Y105" s="213">
        <f>INDEX($A$94:$H$106,MATCH($L105,$B$94:$B$106,0),MATCH($M$93,$A$94:$H$94,0))*고양시_Modal_split!O$3 * 0.01</f>
        <v>7.0900955726170362E-2</v>
      </c>
      <c r="Z105" s="213">
        <f>INDEX($A$94:$H$106,MATCH($L105,$B$94:$B$106,0),MATCH($M$93,$A$94:$H$94,0))*고양시_Modal_split!P$3 * 0.01</f>
        <v>39.389419847872418</v>
      </c>
      <c r="AA105" s="213">
        <f>INDEX($A$94:$H$106,MATCH($L105,$B$94:$B$106,0),MATCH($AA$93,$A$94:$H$94,0))*고양시_Modal_split!C$4 * 0.01</f>
        <v>86.775091813176104</v>
      </c>
      <c r="AB105" s="213">
        <f>INDEX($A$94:$H$106,MATCH($L105,$B$94:$B$106,0),MATCH($AA$93,$A$94:$H$94,0))*고양시_Modal_split!D$4 * 0.01</f>
        <v>91.42172123681199</v>
      </c>
      <c r="AC105" s="213">
        <f>INDEX($A$94:$H$106,MATCH($L105,$B$94:$B$106,0),MATCH($AA$93,$A$94:$H$94,0))*고양시_Modal_split!E$4 * 0.01</f>
        <v>22.149883816963808</v>
      </c>
      <c r="AD105" s="213">
        <f>INDEX($A$94:$H$106,MATCH($L105,$B$94:$B$106,0),MATCH($AA$93,$A$94:$H$94,0))*고양시_Modal_split!F$4 * 0.01</f>
        <v>2.7081582530393327</v>
      </c>
      <c r="AE105" s="213">
        <f>INDEX($A$94:$H$106,MATCH($L105,$B$94:$B$106,0),MATCH($AA$93,$A$94:$H$94,0))*고양시_Modal_split!G$4 * 0.01</f>
        <v>33.381613834832194</v>
      </c>
      <c r="AF105" s="213">
        <f>INDEX($A$94:$H$106,MATCH($L105,$B$94:$B$106,0),MATCH($AA$93,$A$94:$H$94,0))*고양시_Modal_split!H$4 * 0.01</f>
        <v>0</v>
      </c>
      <c r="AG105" s="213">
        <f>INDEX($A$94:$H$106,MATCH($L105,$B$94:$B$106,0),MATCH($AA$93,$A$94:$H$94,0))*고양시_Modal_split!I$4 * 0.01</f>
        <v>9.9204112848177655</v>
      </c>
      <c r="AH105" s="213">
        <f>INDEX($A$94:$H$106,MATCH($L105,$B$94:$B$106,0),MATCH($AA$93,$A$94:$H$94,0))*고양시_Modal_split!J$4 * 0.01</f>
        <v>13.426763549279217</v>
      </c>
      <c r="AI105" s="213">
        <f>INDEX($A$94:$H$106,MATCH($L105,$B$94:$B$106,0),MATCH($AA$93,$A$94:$H$94,0))*고양시_Modal_split!K$4 * 0.01</f>
        <v>0</v>
      </c>
      <c r="AJ105" s="213">
        <f>INDEX($A$94:$H$106,MATCH($L105,$B$94:$B$106,0),MATCH($AA$93,$A$94:$H$94,0))*고양시_Modal_split!L$4 * 0.01</f>
        <v>13.170201188464967</v>
      </c>
      <c r="AK105" s="213">
        <f>INDEX($A$94:$H$106,MATCH($L105,$B$94:$B$106,0),MATCH($AA$93,$A$94:$H$94,0))*고양시_Modal_split!M$4 * 0.01</f>
        <v>1.9099642416172138</v>
      </c>
      <c r="AL105" s="213">
        <f>INDEX($A$94:$H$106,MATCH($L105,$B$94:$B$106,0),MATCH($AA$93,$A$94:$H$94,0))*고양시_Modal_split!N$4 * 0.01</f>
        <v>7.1267322448403494</v>
      </c>
      <c r="AM105" s="213">
        <f>INDEX($A$94:$H$106,MATCH($L105,$B$94:$B$106,0),MATCH($AA$93,$A$94:$H$94,0))*고양시_Modal_split!O$4 * 0.01</f>
        <v>3.078748329771031</v>
      </c>
      <c r="AN105" s="213">
        <f>INDEX($A$94:$H$106,MATCH($L105,$B$94:$B$106,0),MATCH($AA$93,$A$94:$H$94,0))*고양시_Modal_split!P$4 * 0.01</f>
        <v>285.06928979361396</v>
      </c>
      <c r="AO105" s="213">
        <f>INDEX($A$94:$H$106,MATCH($L105,$B$94:$B$106,0),MATCH($AO$93,$A$94:$H$94,0))*고양시_Modal_split!C$5 * 0.01</f>
        <v>9.8122317298288738E-3</v>
      </c>
      <c r="AP105" s="213">
        <f>INDEX($A$94:$H$106,MATCH($L105,$B$94:$B$106,0),MATCH($AO$93,$A$94:$H$94,0))*고양시_Modal_split!D$5 * 0.01</f>
        <v>11.984005686030999</v>
      </c>
      <c r="AQ105" s="213">
        <f>INDEX($A$94:$H$106,MATCH($L105,$B$94:$B$106,0),MATCH($AO$93,$A$94:$H$94,0))*고양시_Modal_split!E$5 * 0.01</f>
        <v>1.6108413756469069</v>
      </c>
      <c r="AR105" s="213">
        <f>INDEX($A$94:$H$106,MATCH($L105,$B$94:$B$106,0),MATCH($AO$93,$A$94:$H$94,0))*고양시_Modal_split!F$5 * 0.01</f>
        <v>0.34342811054401062</v>
      </c>
      <c r="AS105" s="213">
        <f>INDEX($A$94:$H$106,MATCH($L105,$B$94:$B$106,0),MATCH($AO$93,$A$94:$H$94,0))*고양시_Modal_split!G$5 * 0.01</f>
        <v>0.10629917707314614</v>
      </c>
      <c r="AT105" s="213">
        <f>INDEX($A$94:$H$106,MATCH($L105,$B$94:$B$106,0),MATCH($AO$93,$A$94:$H$94,0))*고양시_Modal_split!H$5 * 0.01</f>
        <v>1.1447603684800352E-2</v>
      </c>
      <c r="AU105" s="213">
        <f>INDEX($A$94:$H$106,MATCH($L105,$B$94:$B$106,0),MATCH($AO$93,$A$94:$H$94,0))*고양시_Modal_split!I$5 * 0.01</f>
        <v>0.45299803152709961</v>
      </c>
      <c r="AV105" s="213">
        <f>INDEX($A$94:$H$106,MATCH($L105,$B$94:$B$106,0),MATCH($AO$93,$A$94:$H$94,0))*고양시_Modal_split!J$5 * 0.01</f>
        <v>1.0253782157671174</v>
      </c>
      <c r="AW105" s="213">
        <f>INDEX($A$94:$H$106,MATCH($L105,$B$94:$B$106,0),MATCH($AO$93,$A$94:$H$94,0))*고양시_Modal_split!K$5 * 0.01</f>
        <v>3.2707439099429582E-3</v>
      </c>
      <c r="AX105" s="213">
        <f>INDEX($A$94:$H$106,MATCH($L105,$B$94:$B$106,0),MATCH($AO$93,$A$94:$H$94,0))*고양시_Modal_split!L$5 * 0.01</f>
        <v>0.41701984851772705</v>
      </c>
      <c r="AY105" s="213">
        <f>INDEX($A$94:$H$106,MATCH($L105,$B$94:$B$106,0),MATCH($AO$93,$A$94:$H$94,0))*고양시_Modal_split!M$5 * 0.01</f>
        <v>0.1095699209830891</v>
      </c>
      <c r="AZ105" s="213">
        <f>INDEX($A$94:$H$106,MATCH($L105,$B$94:$B$106,0),MATCH($AO$93,$A$94:$H$94,0))*고양시_Modal_split!N$5 * 0.01</f>
        <v>2.7801323234515143E-2</v>
      </c>
      <c r="BA105" s="213">
        <f>INDEX($A$94:$H$106,MATCH($L105,$B$94:$B$106,0),MATCH($AO$93,$A$94:$H$94,0))*고양시_Modal_split!O$5 * 0.01</f>
        <v>0.25184728106560778</v>
      </c>
      <c r="BB105" s="213">
        <f>INDEX($A$94:$H$106,MATCH($L105,$B$94:$B$106,0),MATCH($AO$93,$A$94:$H$94,0))*고양시_Modal_split!P$5 * 0.01</f>
        <v>16.353719549714789</v>
      </c>
      <c r="BC105" s="213">
        <f>INDEX($A$94:$H$106,MATCH($L105,$B$94:$B$106,0),MATCH($BC$93,$A$94:$H$94,0))*고양시_Modal_split!C$6 * 0.01</f>
        <v>0</v>
      </c>
      <c r="BD105" s="207">
        <f>INDEX($A$94:$H$106,MATCH($L105,$B$94:$B$106,0),MATCH($BC$93,$A$94:$H$94,0))*고양시_Modal_split!D$6 * 0.01</f>
        <v>2.1282108683790608E-2</v>
      </c>
      <c r="BE105" s="207">
        <f>INDEX($A$94:$H$106,MATCH($L105,$B$94:$B$106,0),MATCH($BC$93,$A$94:$H$94,0))*고양시_Modal_split!E$6 * 0.01</f>
        <v>1.1050968160886319E-4</v>
      </c>
      <c r="BF105" s="207">
        <f>INDEX($A$94:$H$106,MATCH($L105,$B$94:$B$106,0),MATCH($BC$93,$A$94:$H$94,0))*고양시_Modal_split!F$6 * 0.01</f>
        <v>3.1353909665770489E-4</v>
      </c>
      <c r="BG105" s="207">
        <f>INDEX($A$94:$H$106,MATCH($L105,$B$94:$B$106,0),MATCH($BC$93,$A$94:$H$94,0))*고양시_Modal_split!G$6 * 0.01</f>
        <v>0</v>
      </c>
      <c r="BH105" s="207">
        <f>INDEX($A$94:$H$106,MATCH($L105,$B$94:$B$106,0),MATCH($BC$93,$A$94:$H$94,0))*고양시_Modal_split!H$6 * 0.01</f>
        <v>1.3646660682396831E-3</v>
      </c>
      <c r="BI105" s="207">
        <f>INDEX($A$94:$H$106,MATCH($L105,$B$94:$B$106,0),MATCH($BC$93,$A$94:$H$94,0))*고양시_Modal_split!I$6 * 0.01</f>
        <v>9.097773788264553E-4</v>
      </c>
      <c r="BJ105" s="207">
        <f>INDEX($A$94:$H$106,MATCH($L105,$B$94:$B$106,0),MATCH($BC$93,$A$94:$H$94,0))*고양시_Modal_split!J$6 * 0.01</f>
        <v>1.2695763422041493E-3</v>
      </c>
      <c r="BK105" s="207">
        <f>INDEX($A$94:$H$106,MATCH($L105,$B$94:$B$106,0),MATCH($BC$93,$A$94:$H$94,0))*고양시_Modal_split!K$6 * 0.01</f>
        <v>0</v>
      </c>
      <c r="BL105" s="207">
        <f>INDEX($A$94:$H$106,MATCH($L105,$B$94:$B$106,0),MATCH($BC$93,$A$94:$H$94,0))*고양시_Modal_split!L$6 * 0.01</f>
        <v>1.9531943726217683E-4</v>
      </c>
      <c r="BM105" s="207">
        <f>INDEX($A$94:$H$106,MATCH($L105,$B$94:$B$106,0),MATCH($BC$93,$A$94:$H$94,0))*고양시_Modal_split!M$6 * 0.01</f>
        <v>2.3386932619550121E-4</v>
      </c>
      <c r="BN105" s="207">
        <f>INDEX($A$94:$H$106,MATCH($L105,$B$94:$B$106,0),MATCH($BC$93,$A$94:$H$94,0))*고양시_Modal_split!N$6 * 0.01</f>
        <v>0</v>
      </c>
      <c r="BO105" s="207">
        <f>INDEX($A$94:$H$106,MATCH($L105,$B$94:$B$106,0),MATCH($BC$93,$A$94:$H$94,0))*고양시_Modal_split!O$6 * 0.01</f>
        <v>2.0559940764439668E-5</v>
      </c>
      <c r="BP105" s="214">
        <f>INDEX($A$94:$H$106,MATCH($L105,$B$94:$B$106,0),MATCH($BC$93,$A$94:$H$94,0))*고양시_Modal_split!P$6 * 0.01</f>
        <v>2.5699925955549582E-2</v>
      </c>
      <c r="BQ105" s="213">
        <f>INDEX($A$94:$H$106,MATCH($L105,$B$94:$B$106,0),MATCH($BQ$93,$A$94:$H$94,0))*고양시_Modal_split!C$7 * 0.01</f>
        <v>0</v>
      </c>
      <c r="BR105" s="213">
        <f>INDEX($A$94:$H$106,MATCH($L105,$B$94:$B$106,0),MATCH($BQ$93,$A$94:$H$94,0))*고양시_Modal_split!D$7 * 0.01</f>
        <v>5.9495899696563159E-2</v>
      </c>
      <c r="BS105" s="213">
        <f>INDEX($A$94:$H$106,MATCH($L105,$B$94:$B$106,0),MATCH($BQ$93,$A$94:$H$94,0))*고양시_Modal_split!E$7 * 0.01</f>
        <v>2.902949414045754E-3</v>
      </c>
      <c r="BT105" s="213">
        <f>INDEX($A$94:$H$106,MATCH($L105,$B$94:$B$106,0),MATCH($BQ$93,$A$94:$H$94,0))*고양시_Modal_split!F$7 * 0.01</f>
        <v>9.708860916540985E-4</v>
      </c>
      <c r="BU105" s="213">
        <f>INDEX($A$94:$H$106,MATCH($L105,$B$94:$B$106,0),MATCH($BQ$93,$A$94:$H$94,0))*고양시_Modal_split!G$7 * 0.01</f>
        <v>4.0777215849472129E-4</v>
      </c>
      <c r="BV105" s="213">
        <f>INDEX($A$94:$H$106,MATCH($L105,$B$94:$B$106,0),MATCH($BQ$93,$A$94:$H$94,0))*고양시_Modal_split!H$7 * 0.01</f>
        <v>5.4272532523464102E-3</v>
      </c>
      <c r="BW105" s="213">
        <f>INDEX($A$94:$H$106,MATCH($L105,$B$94:$B$106,0),MATCH($BQ$93,$A$94:$H$94,0))*고양시_Modal_split!I$7 * 0.01</f>
        <v>1.8126443331182022E-2</v>
      </c>
      <c r="BX105" s="213">
        <f>INDEX($A$94:$H$106,MATCH($L105,$B$94:$B$106,0),MATCH($BQ$93,$A$94:$H$94,0))*고양시_Modal_split!J$7 * 0.01</f>
        <v>1.9417721833081972E-5</v>
      </c>
      <c r="BY105" s="213">
        <f>INDEX($A$94:$H$106,MATCH($L105,$B$94:$B$106,0),MATCH($BQ$93,$A$94:$H$94,0))*고양시_Modal_split!K$7 * 0.01</f>
        <v>7.4758229057365578E-3</v>
      </c>
      <c r="BZ105" s="213">
        <f>INDEX($A$94:$H$106,MATCH($L105,$B$94:$B$106,0),MATCH($BQ$93,$A$94:$H$94,0))*고양시_Modal_split!L$7 * 0.01</f>
        <v>6.7962026415786887E-5</v>
      </c>
      <c r="CA105" s="213">
        <f>INDEX($A$94:$H$106,MATCH($L105,$B$94:$B$106,0),MATCH($BQ$93,$A$94:$H$94,0))*고양시_Modal_split!M$7 * 0.01</f>
        <v>1.815556991393164E-3</v>
      </c>
      <c r="CB105" s="213">
        <f>INDEX($A$94:$H$106,MATCH($L105,$B$94:$B$106,0),MATCH($BQ$93,$A$94:$H$94,0))*고양시_Modal_split!N$7 * 0.01</f>
        <v>3.7864557574509834E-4</v>
      </c>
      <c r="CC105" s="213">
        <f>INDEX($A$94:$H$106,MATCH($L105,$B$94:$B$106,0),MATCH($BQ$93,$A$94:$H$94,0))*고양시_Modal_split!O$7 * 0.01</f>
        <v>0</v>
      </c>
      <c r="CD105" s="213">
        <f>INDEX($A$94:$H$106,MATCH($L105,$B$94:$B$106,0),MATCH($BQ$93,$A$94:$H$94,0))*고양시_Modal_split!P$7 * 0.01</f>
        <v>9.7088609165409845E-2</v>
      </c>
      <c r="CE105" s="218">
        <f t="shared" si="58"/>
        <v>86.895194420479967</v>
      </c>
      <c r="CF105" s="208">
        <f t="shared" si="39"/>
        <v>122.01134908567774</v>
      </c>
      <c r="CG105" s="208">
        <f t="shared" si="40"/>
        <v>26.004996641050308</v>
      </c>
      <c r="CH105" s="208">
        <f t="shared" si="41"/>
        <v>6.6648805888215552</v>
      </c>
      <c r="CI105" s="208">
        <f t="shared" si="42"/>
        <v>33.850703446664262</v>
      </c>
      <c r="CJ105" s="208">
        <f t="shared" si="43"/>
        <v>2.2178464990173688E-2</v>
      </c>
      <c r="CK105" s="208">
        <f t="shared" si="44"/>
        <v>11.487471408825726</v>
      </c>
      <c r="CL105" s="208">
        <f t="shared" si="45"/>
        <v>26.443570160802736</v>
      </c>
      <c r="CM105" s="208">
        <f t="shared" si="46"/>
        <v>6.9830696587488153E-2</v>
      </c>
      <c r="CN105" s="208">
        <f t="shared" si="47"/>
        <v>14.777044797852119</v>
      </c>
      <c r="CO105" s="208">
        <f t="shared" si="48"/>
        <v>2.112179254567998</v>
      </c>
      <c r="CP105" s="208">
        <f t="shared" si="49"/>
        <v>7.1943016334984824</v>
      </c>
      <c r="CQ105" s="208">
        <f t="shared" si="50"/>
        <v>3.4015171265035735</v>
      </c>
      <c r="CR105" s="219">
        <f t="shared" si="51"/>
        <v>340.93521772632215</v>
      </c>
      <c r="CS105" s="225">
        <f t="shared" si="59"/>
        <v>0</v>
      </c>
      <c r="CV105" s="265"/>
      <c r="CW105" s="266" t="s">
        <v>481</v>
      </c>
      <c r="CX105" s="267">
        <f>INDEX($M$93:$Z$106,MATCH($CW105,$L$93:$L$106,0),MATCH(CX$94,$M$94:$Z$94,0))/INDEX(고양시_재차인원!$D$4:$H$35,MATCH("고양시",고양시_재차인원!$B$4:$B$35,0),MATCH('A.일산테크노밸리(859991)_수정'!$CX$93,고양시_재차인원!$D$4:$H$4,0))</f>
        <v>16.540039423619998</v>
      </c>
      <c r="CY105" s="267">
        <f>INDEX($M$93:$Z$106,MATCH($CW105,$L$93:$L$106,0),MATCH(CY$94,$M$94:$Z$94,0))/INDEX(고양시_재차인원!$K$4:$O$20,MATCH("경기도",고양시_재차인원!$K$4:$K$20,0),MATCH('A.일산테크노밸리(859991)_수정'!CY$94,고양시_재차인원!$K$4:$O$4,0))</f>
        <v>1.3681632458448218E-4</v>
      </c>
      <c r="CZ105" s="267">
        <f>INDEX($M$93:$Z$106,MATCH($CW105,$L$93:$L$106,0),MATCH(CZ$94,$M$94:$Z$94,0))/INDEX(고양시_재차인원!$K$4:$O$20,MATCH("경기도",고양시_재차인원!$K$4:$K$20,0),MATCH('A.일산테크노밸리(859991)_수정'!CZ$94,고양시_재차인원!$K$4:$O$4,0))</f>
        <v>3.8034938234486046E-2</v>
      </c>
      <c r="DA105" s="267">
        <f>INDEX($M$93:$Z$106,MATCH($CW105,$L$93:$L$106,0),MATCH(DA$94,$M$94:$Z$94,0))/INDEX(고양시_재차인원!$K$4:$O$20,MATCH("경기도",고양시_재차인원!$K$4:$K$20,0),MATCH('A.일산테크노밸리(859991)_수정'!DA$94,고양시_재차인원!$K$4:$O$4,0))</f>
        <v>0.79304031960383137</v>
      </c>
      <c r="DB105" s="268">
        <f>INDEX($AA$93:$AN$106,MATCH($CW105,$L$93:$L$106,0),MATCH(DB$94,$AA$94:$AN$94,0))/INDEX(고양시_재차인원!$D$4:$H$35,MATCH("고양시",고양시_재차인원!$B$4:$B$35,0),MATCH('A.일산테크노밸리(859991)_수정'!$DB$93,고양시_재차인원!$D$4:$H$4,0))</f>
        <v>64.838100167951765</v>
      </c>
      <c r="DC105" s="267">
        <f>INDEX($AA$93:$AN$106,MATCH($CW105,$L$93:$L$106,0),MATCH(DC$94,$AA$94:$AN$94,0))/INDEX(고양시_재차인원!$K$4:$O$20,MATCH("경기도",고양시_재차인원!$K$4:$K$20,0),MATCH('A.일산테크노밸리(859991)_수정'!DC$94,고양시_재차인원!$K$4:$O$4,0))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5" s="267">
        <f>INDEX($AA$93:$AN$106,MATCH($CW105,$L$93:$L$106,0),MATCH(DD$94,$AA$94:$AN$94,0))/INDEX(고양시_재차인원!$K$4:$O$20,MATCH("경기도",고양시_재차인원!$K$4:$K$20,0),MATCH('A.일산테크노밸리(859991)_수정'!DD$94,고양시_재차인원!$K$4:$O$4,0))</f>
        <v>0.34457837043479561</v>
      </c>
      <c r="DE105" s="267">
        <f>INDEX($AA$93:$AN$106,MATCH($CW105,$L$93:$L$106,0),MATCH(DE$94,$AA$94:$AN$94,0))/INDEX(고양시_재차인원!$K$4:$O$20,MATCH("경기도",고양시_재차인원!$K$4:$K$20,0),MATCH('A.일산테크노밸리(859991)_수정'!DE$94,고양시_재차인원!$K$4:$O$4,0))</f>
        <v>8.7801341256433112</v>
      </c>
      <c r="DF105" s="268">
        <f>INDEX($AO$93:$BB$106,MATCH($CW105,$L$93:$L$106,0),MATCH(DF$94,$AO$94:$BB$94,0))/INDEX(고양시_재차인원!$D$4:$H$35,MATCH("고양시",고양시_재차인원!$B$4:$B$35,0),MATCH('A.일산테크노밸리(859991)_수정'!$DF$93,고양시_재차인원!$D$4:$H$4,0))</f>
        <v>9.2184659123315367</v>
      </c>
      <c r="DG105" s="267">
        <f>INDEX($AO$93:$BB$106,MATCH($CW105,$L$93:$L$106,0),MATCH(DG$94,$AO$94:$BB$94,0))/INDEX(고양시_재차인원!$K$4:$O$20,MATCH("경기도",고양시_재차인원!$K$4:$K$20,0),MATCH('A.일산테크노밸리(859991)_수정'!DG$94,고양시_재차인원!$K$4:$O$4,0))</f>
        <v>3.9762430304968226E-4</v>
      </c>
      <c r="DH105" s="267">
        <f>INDEX($AO$93:$BB$106,MATCH($CW105,$L$93:$L$106,0),MATCH(DH$94,$AO$94:$BB$94,0))/INDEX(고양시_재차인원!$K$4:$O$20,MATCH("경기도",고양시_재차인원!$K$4:$K$20,0),MATCH('A.일산테크노밸리(859991)_수정'!DH$94,고양시_재차인원!$K$4:$O$4,0))</f>
        <v>1.5734561706394569E-2</v>
      </c>
      <c r="DI105" s="267">
        <f>INDEX($AO$93:$BB$106,MATCH($CW105,$L$93:$L$106,0),MATCH(DI$94,$AO$94:$BB$94,0))/INDEX(고양시_재차인원!$K$4:$O$20,MATCH("경기도",고양시_재차인원!$K$4:$K$20,0),MATCH('A.일산테크노밸리(859991)_수정'!DI$94,고양시_재차인원!$K$4:$O$4,0))</f>
        <v>0.27801323234515135</v>
      </c>
      <c r="DJ105" s="268">
        <f>INDEX($BC$93:$BP$106,MATCH($CW105,$L$93:$L$106,0),MATCH(DJ$94,$BC$94:$BP$94,0))/INDEX(고양시_재차인원!$D$4:$H$35,MATCH("고양시",고양시_재차인원!$B$4:$B$35,0),MATCH('A.일산테크노밸리(859991)_수정'!$DJ$93,고양시_재차인원!$D$4:$H$4,0))</f>
        <v>1.5648609326316624E-2</v>
      </c>
      <c r="DK105" s="267">
        <f>INDEX($BC$93:$BP$106,MATCH($CW105,$L$93:$L$106,0),MATCH(DK$94,$BC$94:$BP$94,0))/INDEX(고양시_재차인원!$K$4:$O$20,MATCH("경기도",고양시_재차인원!$K$4:$K$20,0),MATCH('A.일산테크노밸리(859991)_수정'!DK$94,고양시_재차인원!$K$4:$O$4,0))</f>
        <v>4.7400697055911188E-5</v>
      </c>
      <c r="DL105" s="267">
        <f>INDEX($BC$93:$BP$106,MATCH($CW105,$L$93:$L$106,0),MATCH(DL$94,$BC$94:$BP$94,0))/INDEX(고양시_재차인원!$K$4:$O$20,MATCH("경기도",고양시_재차인원!$K$4:$K$20,0),MATCH('A.일산테크노밸리(859991)_수정'!DL$94,고양시_재차인원!$K$4:$O$4,0))</f>
        <v>3.160046470394079E-5</v>
      </c>
      <c r="DM105" s="267">
        <f>INDEX($BC$93:$BP$106,MATCH($CW105,$L$93:$L$106,0),MATCH(DM$94,$BC$94:$BP$94,0))/INDEX(고양시_재차인원!$K$4:$O$20,MATCH("경기도",고양시_재차인원!$K$4:$K$20,0),MATCH('A.일산테크노밸리(859991)_수정'!DM$94,고양시_재차인원!$K$4:$O$4,0))</f>
        <v>1.3021295817478454E-4</v>
      </c>
      <c r="DN105" s="268">
        <f>INDEX($BQ$93:$CD$106,MATCH($CW105,$L$93:$L$106,0),MATCH(DN$94,$BQ$94:$CD$94,0))/INDEX(고양시_재차인원!$D$4:$H$35,MATCH("고양시",고양시_재차인원!$B$4:$B$35,0),MATCH('A.일산테크노밸리(859991)_수정'!$DN$93,고양시_재차인원!$D$4:$H$4,0))</f>
        <v>4.7218968013145367E-2</v>
      </c>
      <c r="DO105" s="267">
        <f>INDEX($BQ$93:$CD$106,MATCH($CW105,$L$93:$L$106,0),MATCH(DO$94,$BQ$94:$CD$94,0))/INDEX(고양시_재차인원!$K$4:$O$20,MATCH("경기도",고양시_재차인원!$K$4:$K$20,0),MATCH('A.일산테크노밸리(859991)_수정'!DO$94,고양시_재차인원!$K$4:$O$4,0))</f>
        <v>1.8851174895263668E-4</v>
      </c>
      <c r="DP105" s="267">
        <f>INDEX($BQ$93:$CD$106,MATCH($CW105,$L$93:$L$106,0),MATCH(DP$94,$BQ$94:$CD$94,0))/INDEX(고양시_재차인원!$K$4:$O$20,MATCH("경기도",고양시_재차인원!$K$4:$K$20,0),MATCH('A.일산테크노밸리(859991)_수정'!DP$94,고양시_재차인원!$K$4:$O$4,0))</f>
        <v>6.2960900768259886E-4</v>
      </c>
      <c r="DQ105" s="267">
        <f>INDEX($BQ$93:$CD$106,MATCH($CW105,$L$93:$L$106,0),MATCH(DQ$94,$BQ$94:$CD$94,0))/INDEX(고양시_재차인원!$K$4:$O$20,MATCH("경기도",고양시_재차인원!$K$4:$K$20,0),MATCH('A.일산테크노밸리(859991)_수정'!DQ$94,고양시_재차인원!$K$4:$O$4,0))</f>
        <v>4.5308017610524591E-5</v>
      </c>
      <c r="DR105" s="269">
        <f t="shared" si="60"/>
        <v>90.659473081242766</v>
      </c>
      <c r="DS105" s="270">
        <f t="shared" si="52"/>
        <v>7.7035307364271236E-4</v>
      </c>
      <c r="DT105" s="270">
        <f t="shared" si="53"/>
        <v>0.39900907984806283</v>
      </c>
      <c r="DU105" s="270">
        <f t="shared" si="54"/>
        <v>9.8513631985680767</v>
      </c>
      <c r="DW105" s="278"/>
      <c r="DX105" s="278"/>
      <c r="DY105" s="281" t="b">
        <f>SUM(DY95:DY103)=DY104</f>
        <v>1</v>
      </c>
      <c r="DZ105" s="281" t="b">
        <f>SUM(DZ95:DZ103)=DZ104</f>
        <v>1</v>
      </c>
      <c r="EC105" s="412" t="s">
        <v>15</v>
      </c>
      <c r="ED105" s="412" t="s">
        <v>89</v>
      </c>
      <c r="EE105" s="412">
        <v>6744.6391999999996</v>
      </c>
      <c r="EF105" s="412">
        <v>3.132473616271262E-2</v>
      </c>
      <c r="EG105" s="413">
        <v>859012</v>
      </c>
      <c r="EH105" s="414">
        <f t="shared" si="55"/>
        <v>257.9214641765746</v>
      </c>
      <c r="EI105" s="415">
        <f t="shared" si="56"/>
        <v>1.02587641793961</v>
      </c>
      <c r="EJ105" s="402">
        <v>0</v>
      </c>
      <c r="EM105" s="278" t="s">
        <v>15</v>
      </c>
      <c r="EN105" s="278" t="s">
        <v>89</v>
      </c>
      <c r="EO105" s="278">
        <v>6744.6391999999996</v>
      </c>
      <c r="EP105" s="278">
        <v>3.132473616271262E-2</v>
      </c>
      <c r="EQ105" s="289">
        <v>859012</v>
      </c>
      <c r="ER105" s="290">
        <f t="shared" si="37"/>
        <v>257.9214641765746</v>
      </c>
      <c r="ES105" s="291">
        <f t="shared" si="38"/>
        <v>1.02587641793961</v>
      </c>
      <c r="ET105" s="402">
        <v>0</v>
      </c>
      <c r="EV105" s="34"/>
      <c r="EW105" s="34"/>
      <c r="EX105" s="34"/>
      <c r="EY105" s="34"/>
      <c r="EZ105" s="378"/>
      <c r="FA105" s="401"/>
      <c r="FB105" s="402"/>
      <c r="FC105" s="402"/>
    </row>
    <row r="106" spans="1:159" ht="17.5" thickBot="1">
      <c r="A106" s="205"/>
      <c r="B106" s="205" t="s">
        <v>26</v>
      </c>
      <c r="C106" s="400">
        <f>'A.일산테크노밸리(859991)_수정'!$P39*KTDB_TripDistribution_2035!T$12 * (1+KTDB_발생량도착량_증가율!$D$8 *5) * (1+KTDB_발생량도착량_증가율!$E$8 *5)</f>
        <v>4700.623440682728</v>
      </c>
      <c r="D106" s="400">
        <f>'A.일산테크노밸리(859991)_수정'!$P39*KTDB_TripDistribution_2035!U$12 * (1+KTDB_발생량도착량_증가율!$D$8 *5) * (1+KTDB_발생량도착량_증가율!$E$8 *5)</f>
        <v>34019.373501765818</v>
      </c>
      <c r="E106" s="400">
        <f>'A.일산테크노밸리(859991)_수정'!$P39*KTDB_TripDistribution_2035!V$12 * (1+KTDB_발생량도착량_증가율!$D$8 *5) * (1+KTDB_발생량도착량_증가율!$E$8 *5)</f>
        <v>1951.6072527758472</v>
      </c>
      <c r="F106" s="400">
        <f>'A.일산테크노밸리(859991)_수정'!$P39*KTDB_TripDistribution_2035!W$12 * (1+KTDB_발생량도착량_증가율!$D$8 *5) * (1+KTDB_발생량도착량_증가율!$E$8 *5)</f>
        <v>3.0669574428116908</v>
      </c>
      <c r="G106" s="400">
        <f>'A.일산테크노밸리(859991)_수정'!$P39*KTDB_TripDistribution_2035!X$12 * (1+KTDB_발생량도착량_증가율!$D$8 *5) * (1+KTDB_발생량도착량_증가율!$E$8 *5)</f>
        <v>11.5862836728442</v>
      </c>
      <c r="H106" s="400">
        <f>'A.일산테크노밸리(859991)_수정'!$P39*KTDB_TripDistribution_2035!Y$12 * (1+KTDB_발생량도착량_증가율!$D$8 *5) * (1+KTDB_발생량도착량_증가율!$E$8 *5)</f>
        <v>40686.257436340049</v>
      </c>
      <c r="I106" t="b">
        <f>H106=$P$39</f>
        <v>0</v>
      </c>
      <c r="J106" s="230">
        <f t="shared" si="57"/>
        <v>40686.257436340042</v>
      </c>
      <c r="K106" s="206"/>
      <c r="L106" s="209" t="s">
        <v>26</v>
      </c>
      <c r="M106" s="213">
        <f>INDEX($A$94:$H$106,MATCH($L106,$B$94:$B$106,0),MATCH($M$93,$A$94:$H$94,0))*고양시_Modal_split!C$3 * 0.01</f>
        <v>13.161745633911638</v>
      </c>
      <c r="N106" s="213">
        <f>INDEX($A$94:$H$106,MATCH($L106,$B$94:$B$106,0),MATCH($M$93,$A$94:$H$94,0))*고양시_Modal_split!D$3 * 0.01</f>
        <v>2210.703204153087</v>
      </c>
      <c r="O106" s="213">
        <f>INDEX($A$94:$H$106,MATCH($L106,$B$94:$B$106,0),MATCH($M$93,$A$94:$H$94,0))*고양시_Modal_split!E$3 * 0.01</f>
        <v>267.46547377484723</v>
      </c>
      <c r="P106" s="213">
        <f>INDEX($A$94:$H$106,MATCH($L106,$B$94:$B$106,0),MATCH($M$93,$A$94:$H$94,0))*고양시_Modal_split!F$3 * 0.01</f>
        <v>431.04716951060618</v>
      </c>
      <c r="Q106" s="213">
        <f>INDEX($A$94:$H$106,MATCH($L106,$B$94:$B$106,0),MATCH($M$93,$A$94:$H$94,0))*고양시_Modal_split!G$3 * 0.01</f>
        <v>43.245735654281098</v>
      </c>
      <c r="R106" s="213">
        <f>INDEX($A$94:$H$106,MATCH($L106,$B$94:$B$106,0),MATCH($M$93,$A$94:$H$94,0))*고양시_Modal_split!H$3 * 0.01</f>
        <v>0.47006234406827285</v>
      </c>
      <c r="S106" s="213">
        <f>INDEX($A$94:$H$106,MATCH($L106,$B$94:$B$106,0),MATCH($M$93,$A$94:$H$94,0))*고양시_Modal_split!I$3 * 0.01</f>
        <v>130.67733165097982</v>
      </c>
      <c r="T106" s="213">
        <f>INDEX($A$94:$H$106,MATCH($L106,$B$94:$B$106,0),MATCH($M$93,$A$94:$H$94,0))*고양시_Modal_split!J$3 * 0.01</f>
        <v>1430.8697753438225</v>
      </c>
      <c r="U106" s="213">
        <f>INDEX($A$94:$H$106,MATCH($L106,$B$94:$B$106,0),MATCH($M$93,$A$94:$H$94,0))*고양시_Modal_split!K$3 * 0.01</f>
        <v>7.0509351610240918</v>
      </c>
      <c r="V106" s="213">
        <f>INDEX($A$94:$H$106,MATCH($L106,$B$94:$B$106,0),MATCH($M$93,$A$94:$H$94,0))*고양시_Modal_split!L$3 * 0.01</f>
        <v>141.95882790861839</v>
      </c>
      <c r="W106" s="213">
        <f>INDEX($A$94:$H$106,MATCH($L106,$B$94:$B$106,0),MATCH($M$93,$A$94:$H$94,0))*고양시_Modal_split!M$3 * 0.01</f>
        <v>10.811433913570275</v>
      </c>
      <c r="X106" s="213">
        <f>INDEX($A$94:$H$106,MATCH($L106,$B$94:$B$106,0),MATCH($M$93,$A$94:$H$94,0))*고양시_Modal_split!N$3 * 0.01</f>
        <v>4.7006234406827279</v>
      </c>
      <c r="Y106" s="213">
        <f>INDEX($A$94:$H$106,MATCH($L106,$B$94:$B$106,0),MATCH($M$93,$A$94:$H$94,0))*고양시_Modal_split!O$3 * 0.01</f>
        <v>8.4611221932289098</v>
      </c>
      <c r="Z106" s="213">
        <f>INDEX($A$94:$H$106,MATCH($L106,$B$94:$B$106,0),MATCH($M$93,$A$94:$H$94,0))*고양시_Modal_split!P$3 * 0.01</f>
        <v>4700.623440682728</v>
      </c>
      <c r="AA106" s="213">
        <f>INDEX($A$94:$H$106,MATCH($L106,$B$94:$B$106,0),MATCH($AA$93,$A$94:$H$94,0))*고양시_Modal_split!C$4 * 0.01</f>
        <v>10355.497293937517</v>
      </c>
      <c r="AB106" s="213">
        <f>INDEX($A$94:$H$106,MATCH($L106,$B$94:$B$106,0),MATCH($AA$93,$A$94:$H$94,0))*고양시_Modal_split!D$4 * 0.01</f>
        <v>10910.013082016299</v>
      </c>
      <c r="AC106" s="213">
        <f>INDEX($A$94:$H$106,MATCH($L106,$B$94:$B$106,0),MATCH($AA$93,$A$94:$H$94,0))*고양시_Modal_split!E$4 * 0.01</f>
        <v>2643.3053210872044</v>
      </c>
      <c r="AD106" s="213">
        <f>INDEX($A$94:$H$106,MATCH($L106,$B$94:$B$106,0),MATCH($AA$93,$A$94:$H$94,0))*고양시_Modal_split!F$4 * 0.01</f>
        <v>323.18404826677528</v>
      </c>
      <c r="AE106" s="213">
        <f>INDEX($A$94:$H$106,MATCH($L106,$B$94:$B$106,0),MATCH($AA$93,$A$94:$H$94,0))*고양시_Modal_split!G$4 * 0.01</f>
        <v>3983.6686370567768</v>
      </c>
      <c r="AF106" s="213">
        <f>INDEX($A$94:$H$106,MATCH($L106,$B$94:$B$106,0),MATCH($AA$93,$A$94:$H$94,0))*고양시_Modal_split!H$4 * 0.01</f>
        <v>0</v>
      </c>
      <c r="AG106" s="213">
        <f>INDEX($A$94:$H$106,MATCH($L106,$B$94:$B$106,0),MATCH($AA$93,$A$94:$H$94,0))*고양시_Modal_split!I$4 * 0.01</f>
        <v>1183.8741978614505</v>
      </c>
      <c r="AH106" s="213">
        <f>INDEX($A$94:$H$106,MATCH($L106,$B$94:$B$106,0),MATCH($AA$93,$A$94:$H$94,0))*고양시_Modal_split!J$4 * 0.01</f>
        <v>1602.3124919331699</v>
      </c>
      <c r="AI106" s="213">
        <f>INDEX($A$94:$H$106,MATCH($L106,$B$94:$B$106,0),MATCH($AA$93,$A$94:$H$94,0))*고양시_Modal_split!K$4 * 0.01</f>
        <v>0</v>
      </c>
      <c r="AJ106" s="213">
        <f>INDEX($A$94:$H$106,MATCH($L106,$B$94:$B$106,0),MATCH($AA$93,$A$94:$H$94,0))*고양시_Modal_split!L$4 * 0.01</f>
        <v>1571.6950557815808</v>
      </c>
      <c r="AK106" s="213">
        <f>INDEX($A$94:$H$106,MATCH($L106,$B$94:$B$106,0),MATCH($AA$93,$A$94:$H$94,0))*고양시_Modal_split!M$4 * 0.01</f>
        <v>227.929802461831</v>
      </c>
      <c r="AL106" s="213">
        <f>INDEX($A$94:$H$106,MATCH($L106,$B$94:$B$106,0),MATCH($AA$93,$A$94:$H$94,0))*고양시_Modal_split!N$4 * 0.01</f>
        <v>850.48433754414555</v>
      </c>
      <c r="AM106" s="213">
        <f>INDEX($A$94:$H$106,MATCH($L106,$B$94:$B$106,0),MATCH($AA$93,$A$94:$H$94,0))*고양시_Modal_split!O$4 * 0.01</f>
        <v>367.40923381907089</v>
      </c>
      <c r="AN106" s="213">
        <f>INDEX($A$94:$H$106,MATCH($L106,$B$94:$B$106,0),MATCH($AA$93,$A$94:$H$94,0))*고양시_Modal_split!P$4 * 0.01</f>
        <v>34019.373501765818</v>
      </c>
      <c r="AO106" s="213">
        <f>INDEX($A$94:$H$106,MATCH($L106,$B$94:$B$106,0),MATCH($AO$93,$A$94:$H$94,0))*고양시_Modal_split!C$5 * 0.01</f>
        <v>1.1709643516655084</v>
      </c>
      <c r="AP106" s="213">
        <f>INDEX($A$94:$H$106,MATCH($L106,$B$94:$B$106,0),MATCH($AO$93,$A$94:$H$94,0))*고양시_Modal_split!D$5 * 0.01</f>
        <v>1430.1377948341408</v>
      </c>
      <c r="AQ106" s="213">
        <f>INDEX($A$94:$H$106,MATCH($L106,$B$94:$B$106,0),MATCH($AO$93,$A$94:$H$94,0))*고양시_Modal_split!E$5 * 0.01</f>
        <v>192.23331439842096</v>
      </c>
      <c r="AR106" s="213">
        <f>INDEX($A$94:$H$106,MATCH($L106,$B$94:$B$106,0),MATCH($AO$93,$A$94:$H$94,0))*고양시_Modal_split!F$5 * 0.01</f>
        <v>40.9837523082928</v>
      </c>
      <c r="AS106" s="213">
        <f>INDEX($A$94:$H$106,MATCH($L106,$B$94:$B$106,0),MATCH($AO$93,$A$94:$H$94,0))*고양시_Modal_split!G$5 * 0.01</f>
        <v>12.685447143043007</v>
      </c>
      <c r="AT106" s="213">
        <f>INDEX($A$94:$H$106,MATCH($L106,$B$94:$B$106,0),MATCH($AO$93,$A$94:$H$94,0))*고양시_Modal_split!H$5 * 0.01</f>
        <v>1.366125076943093</v>
      </c>
      <c r="AU106" s="213">
        <f>INDEX($A$94:$H$106,MATCH($L106,$B$94:$B$106,0),MATCH($AO$93,$A$94:$H$94,0))*고양시_Modal_split!I$5 * 0.01</f>
        <v>54.059520901890963</v>
      </c>
      <c r="AV106" s="213">
        <f>INDEX($A$94:$H$106,MATCH($L106,$B$94:$B$106,0),MATCH($AO$93,$A$94:$H$94,0))*고양시_Modal_split!J$5 * 0.01</f>
        <v>122.36577474904563</v>
      </c>
      <c r="AW106" s="213">
        <f>INDEX($A$94:$H$106,MATCH($L106,$B$94:$B$106,0),MATCH($AO$93,$A$94:$H$94,0))*고양시_Modal_split!K$5 * 0.01</f>
        <v>0.39032145055516942</v>
      </c>
      <c r="AX106" s="213">
        <f>INDEX($A$94:$H$106,MATCH($L106,$B$94:$B$106,0),MATCH($AO$93,$A$94:$H$94,0))*고양시_Modal_split!L$5 * 0.01</f>
        <v>49.765984945784105</v>
      </c>
      <c r="AY106" s="213">
        <f>INDEX($A$94:$H$106,MATCH($L106,$B$94:$B$106,0),MATCH($AO$93,$A$94:$H$94,0))*고양시_Modal_split!M$5 * 0.01</f>
        <v>13.075768593598177</v>
      </c>
      <c r="AZ106" s="213">
        <f>INDEX($A$94:$H$106,MATCH($L106,$B$94:$B$106,0),MATCH($AO$93,$A$94:$H$94,0))*고양시_Modal_split!N$5 * 0.01</f>
        <v>3.3177323297189401</v>
      </c>
      <c r="BA106" s="213">
        <f>INDEX($A$94:$H$106,MATCH($L106,$B$94:$B$106,0),MATCH($AO$93,$A$94:$H$94,0))*고양시_Modal_split!O$5 * 0.01</f>
        <v>30.054751692748045</v>
      </c>
      <c r="BB106" s="213">
        <f>INDEX($A$94:$H$106,MATCH($L106,$B$94:$B$106,0),MATCH($AO$93,$A$94:$H$94,0))*고양시_Modal_split!P$5 * 0.01</f>
        <v>1951.607252775847</v>
      </c>
      <c r="BC106" s="215">
        <f>INDEX($A$94:$H$106,MATCH($L106,$B$94:$B$106,0),MATCH($BC$93,$A$94:$H$94,0))*고양시_Modal_split!C$6 * 0.01</f>
        <v>0</v>
      </c>
      <c r="BD106" s="216">
        <f>INDEX($A$94:$H$106,MATCH($L106,$B$94:$B$106,0),MATCH($BC$93,$A$94:$H$94,0))*고양시_Modal_split!D$6 * 0.01</f>
        <v>2.5397474583923607</v>
      </c>
      <c r="BE106" s="216">
        <f>INDEX($A$94:$H$106,MATCH($L106,$B$94:$B$106,0),MATCH($BC$93,$A$94:$H$94,0))*고양시_Modal_split!E$6 * 0.01</f>
        <v>1.318791700409027E-2</v>
      </c>
      <c r="BF106" s="216">
        <f>INDEX($A$94:$H$106,MATCH($L106,$B$94:$B$106,0),MATCH($BC$93,$A$94:$H$94,0))*고양시_Modal_split!F$6 * 0.01</f>
        <v>3.7416880802302627E-2</v>
      </c>
      <c r="BG106" s="216">
        <f>INDEX($A$94:$H$106,MATCH($L106,$B$94:$B$106,0),MATCH($BC$93,$A$94:$H$94,0))*고양시_Modal_split!G$6 * 0.01</f>
        <v>0</v>
      </c>
      <c r="BH106" s="216">
        <f>INDEX($A$94:$H$106,MATCH($L106,$B$94:$B$106,0),MATCH($BC$93,$A$94:$H$94,0))*고양시_Modal_split!H$6 * 0.01</f>
        <v>0.16285544021330078</v>
      </c>
      <c r="BI106" s="216">
        <f>INDEX($A$94:$H$106,MATCH($L106,$B$94:$B$106,0),MATCH($BC$93,$A$94:$H$94,0))*고양시_Modal_split!I$6 * 0.01</f>
        <v>0.10857029347553386</v>
      </c>
      <c r="BJ106" s="216">
        <f>INDEX($A$94:$H$106,MATCH($L106,$B$94:$B$106,0),MATCH($BC$93,$A$94:$H$94,0))*고양시_Modal_split!J$6 * 0.01</f>
        <v>0.1515076976748975</v>
      </c>
      <c r="BK106" s="216">
        <f>INDEX($A$94:$H$106,MATCH($L106,$B$94:$B$106,0),MATCH($BC$93,$A$94:$H$94,0))*고양시_Modal_split!K$6 * 0.01</f>
        <v>0</v>
      </c>
      <c r="BL106" s="216">
        <f>INDEX($A$94:$H$106,MATCH($L106,$B$94:$B$106,0),MATCH($BC$93,$A$94:$H$94,0))*고양시_Modal_split!L$6 * 0.01</f>
        <v>2.3308876565368852E-2</v>
      </c>
      <c r="BM106" s="216">
        <f>INDEX($A$94:$H$106,MATCH($L106,$B$94:$B$106,0),MATCH($BC$93,$A$94:$H$94,0))*고양시_Modal_split!M$6 * 0.01</f>
        <v>2.790931272958639E-2</v>
      </c>
      <c r="BN106" s="216">
        <f>INDEX($A$94:$H$106,MATCH($L106,$B$94:$B$106,0),MATCH($BC$93,$A$94:$H$94,0))*고양시_Modal_split!N$6 * 0.01</f>
        <v>0</v>
      </c>
      <c r="BO106" s="216">
        <f>INDEX($A$94:$H$106,MATCH($L106,$B$94:$B$106,0),MATCH($BC$93,$A$94:$H$94,0))*고양시_Modal_split!O$6 * 0.01</f>
        <v>2.4535659542493527E-3</v>
      </c>
      <c r="BP106" s="217">
        <f>INDEX($A$94:$H$106,MATCH($L106,$B$94:$B$106,0),MATCH($BC$93,$A$94:$H$94,0))*고양시_Modal_split!P$6 * 0.01</f>
        <v>3.0669574428116908</v>
      </c>
      <c r="BQ106" s="213">
        <f>INDEX($A$94:$H$106,MATCH($L106,$B$94:$B$106,0),MATCH($BQ$93,$A$94:$H$94,0))*고양시_Modal_split!C$7 * 0.01</f>
        <v>0</v>
      </c>
      <c r="BR106" s="213">
        <f>INDEX($A$94:$H$106,MATCH($L106,$B$94:$B$106,0),MATCH($BQ$93,$A$94:$H$94,0))*고양시_Modal_split!D$7 * 0.01</f>
        <v>7.1000746347189265</v>
      </c>
      <c r="BS106" s="213">
        <f>INDEX($A$94:$H$106,MATCH($L106,$B$94:$B$106,0),MATCH($BQ$93,$A$94:$H$94,0))*고양시_Modal_split!E$7 * 0.01</f>
        <v>0.34642988181804157</v>
      </c>
      <c r="BT106" s="213">
        <f>INDEX($A$94:$H$106,MATCH($L106,$B$94:$B$106,0),MATCH($BQ$93,$A$94:$H$94,0))*고양시_Modal_split!F$7 * 0.01</f>
        <v>0.115862836728442</v>
      </c>
      <c r="BU106" s="213">
        <f>INDEX($A$94:$H$106,MATCH($L106,$B$94:$B$106,0),MATCH($BQ$93,$A$94:$H$94,0))*고양시_Modal_split!G$7 * 0.01</f>
        <v>4.8662391425945639E-2</v>
      </c>
      <c r="BV106" s="213">
        <f>INDEX($A$94:$H$106,MATCH($L106,$B$94:$B$106,0),MATCH($BQ$93,$A$94:$H$94,0))*고양시_Modal_split!H$7 * 0.01</f>
        <v>0.64767325731199077</v>
      </c>
      <c r="BW106" s="213">
        <f>INDEX($A$94:$H$106,MATCH($L106,$B$94:$B$106,0),MATCH($BQ$93,$A$94:$H$94,0))*고양시_Modal_split!I$7 * 0.01</f>
        <v>2.1631591617200123</v>
      </c>
      <c r="BX106" s="213">
        <f>INDEX($A$94:$H$106,MATCH($L106,$B$94:$B$106,0),MATCH($BQ$93,$A$94:$H$94,0))*고양시_Modal_split!J$7 * 0.01</f>
        <v>2.31725673456884E-3</v>
      </c>
      <c r="BY106" s="213">
        <f>INDEX($A$94:$H$106,MATCH($L106,$B$94:$B$106,0),MATCH($BQ$93,$A$94:$H$94,0))*고양시_Modal_split!K$7 * 0.01</f>
        <v>0.8921438428090035</v>
      </c>
      <c r="BZ106" s="213">
        <f>INDEX($A$94:$H$106,MATCH($L106,$B$94:$B$106,0),MATCH($BQ$93,$A$94:$H$94,0))*고양시_Modal_split!L$7 * 0.01</f>
        <v>8.1103985709909381E-3</v>
      </c>
      <c r="CA106" s="213">
        <f>INDEX($A$94:$H$106,MATCH($L106,$B$94:$B$106,0),MATCH($BQ$93,$A$94:$H$94,0))*고양시_Modal_split!M$7 * 0.01</f>
        <v>0.21666350468218656</v>
      </c>
      <c r="CB106" s="213">
        <f>INDEX($A$94:$H$106,MATCH($L106,$B$94:$B$106,0),MATCH($BQ$93,$A$94:$H$94,0))*고양시_Modal_split!N$7 * 0.01</f>
        <v>4.5186506324092372E-2</v>
      </c>
      <c r="CC106" s="213">
        <f>INDEX($A$94:$H$106,MATCH($L106,$B$94:$B$106,0),MATCH($BQ$93,$A$94:$H$94,0))*고양시_Modal_split!O$7 * 0.01</f>
        <v>0</v>
      </c>
      <c r="CD106" s="213">
        <f>INDEX($A$94:$H$106,MATCH($L106,$B$94:$B$106,0),MATCH($BQ$93,$A$94:$H$94,0))*고양시_Modal_split!P$7 * 0.01</f>
        <v>11.5862836728442</v>
      </c>
      <c r="CE106" s="220">
        <f t="shared" si="58"/>
        <v>10369.830003923094</v>
      </c>
      <c r="CF106" s="221">
        <f t="shared" si="39"/>
        <v>14560.493903096638</v>
      </c>
      <c r="CG106" s="221">
        <f t="shared" si="40"/>
        <v>3103.3637270592949</v>
      </c>
      <c r="CH106" s="221">
        <f t="shared" si="41"/>
        <v>795.368249803205</v>
      </c>
      <c r="CI106" s="221">
        <f t="shared" si="42"/>
        <v>4039.6484822455263</v>
      </c>
      <c r="CJ106" s="221">
        <f t="shared" si="43"/>
        <v>2.6467161185366574</v>
      </c>
      <c r="CK106" s="221">
        <f t="shared" si="44"/>
        <v>1370.8827798695168</v>
      </c>
      <c r="CL106" s="221">
        <f t="shared" si="45"/>
        <v>3155.701866980447</v>
      </c>
      <c r="CM106" s="221">
        <f t="shared" si="46"/>
        <v>8.3334004543882649</v>
      </c>
      <c r="CN106" s="221">
        <f t="shared" si="47"/>
        <v>1763.4512879111196</v>
      </c>
      <c r="CO106" s="221">
        <f t="shared" si="48"/>
        <v>252.06157778641122</v>
      </c>
      <c r="CP106" s="221">
        <f t="shared" si="49"/>
        <v>858.54787982087134</v>
      </c>
      <c r="CQ106" s="221">
        <f t="shared" si="50"/>
        <v>405.92756127100205</v>
      </c>
      <c r="CR106" s="222">
        <f t="shared" si="51"/>
        <v>40686.257436340042</v>
      </c>
      <c r="CS106" s="225">
        <f t="shared" si="59"/>
        <v>0</v>
      </c>
      <c r="CV106" s="265"/>
      <c r="CW106" s="266" t="s">
        <v>26</v>
      </c>
      <c r="CX106" s="267">
        <f>INDEX($M$93:$Z$106,MATCH($CW106,$L$93:$L$106,0),MATCH(CX$94,$M$94:$Z$94,0))/INDEX(고양시_재차인원!$D$4:$H$35,MATCH("고양시",고양시_재차인원!$B$4:$B$35,0),MATCH('A.일산테크노밸리(859991)_수정'!$CX$93,고양시_재차인원!$D$4:$H$4,0))</f>
        <v>1973.8421465652561</v>
      </c>
      <c r="CY106" s="267">
        <f>INDEX($M$93:$Z$106,MATCH($CW106,$L$93:$L$106,0),MATCH(CY$94,$M$94:$Z$94,0))/INDEX(고양시_재차인원!$K$4:$O$20,MATCH("경기도",고양시_재차인원!$K$4:$K$20,0),MATCH('A.일산테크노밸리(859991)_수정'!CY$94,고양시_재차인원!$K$4:$O$4,0))</f>
        <v>1.6327278362913263E-2</v>
      </c>
      <c r="CZ106" s="267">
        <f>INDEX($M$93:$Z$106,MATCH($CW106,$L$93:$L$106,0),MATCH(CZ$94,$M$94:$Z$94,0))/INDEX(고양시_재차인원!$K$4:$O$20,MATCH("경기도",고양시_재차인원!$K$4:$K$20,0),MATCH('A.일산테크노밸리(859991)_수정'!CZ$94,고양시_재차인원!$K$4:$O$4,0))</f>
        <v>4.5389833848898862</v>
      </c>
      <c r="DA106" s="267">
        <f>INDEX($M$93:$Z$106,MATCH($CW106,$L$93:$L$106,0),MATCH(DA$94,$M$94:$Z$94,0))/INDEX(고양시_재차인원!$K$4:$O$20,MATCH("경기도",고양시_재차인원!$K$4:$K$20,0),MATCH('A.일산테크노밸리(859991)_수정'!DA$94,고양시_재차인원!$K$4:$O$4,0))</f>
        <v>94.639218605745597</v>
      </c>
      <c r="DB106" s="272">
        <f>INDEX($AA$93:$AN$106,MATCH($CW106,$L$93:$L$106,0),MATCH(DB$94,$AA$94:$AN$94,0))/INDEX(고양시_재차인원!$D$4:$H$35,MATCH("고양시",고양시_재차인원!$B$4:$B$35,0),MATCH('A.일산테크노밸리(859991)_수정'!$DB$93,고양시_재차인원!$D$4:$H$4,0))</f>
        <v>7737.5979305080145</v>
      </c>
      <c r="DC106" s="273">
        <f>INDEX($AA$93:$AN$106,MATCH($CW106,$L$93:$L$106,0),MATCH(DC$94,$AA$94:$AN$94,0))/INDEX(고양시_재차인원!$K$4:$O$20,MATCH("경기도",고양시_재차인원!$K$4:$K$20,0),MATCH('A.일산테크노밸리(859991)_수정'!DC$94,고양시_재차인원!$K$4:$O$4,0))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6" s="273">
        <f>INDEX($AA$93:$AN$106,MATCH($CW106,$L$93:$L$106,0),MATCH(DD$94,$AA$94:$AN$94,0))/INDEX(고양시_재차인원!$K$4:$O$20,MATCH("경기도",고양시_재차인원!$K$4:$K$20,0),MATCH('A.일산테크노밸리(859991)_수정'!DD$94,고양시_재차인원!$K$4:$O$4,0))</f>
        <v>41.121021113631485</v>
      </c>
      <c r="DE106" s="273">
        <f>INDEX($AA$93:$AN$106,MATCH($CW106,$L$93:$L$106,0),MATCH(DE$94,$AA$94:$AN$94,0))/INDEX(고양시_재차인원!$K$4:$O$20,MATCH("경기도",고양시_재차인원!$K$4:$K$20,0),MATCH('A.일산테크노밸리(859991)_수정'!DE$94,고양시_재차인원!$K$4:$O$4,0))</f>
        <v>1047.7967038543873</v>
      </c>
      <c r="DF106" s="272">
        <f>INDEX($AO$93:$BB$106,MATCH($CW106,$L$93:$L$106,0),MATCH(DF$94,$AO$94:$BB$94,0))/INDEX(고양시_재차인원!$D$4:$H$35,MATCH("고양시",고양시_재차인원!$B$4:$B$35,0),MATCH('A.일산테크노밸리(859991)_수정'!$DF$93,고양시_재차인원!$D$4:$H$4,0))</f>
        <v>1100.1059960262621</v>
      </c>
      <c r="DG106" s="273">
        <f>INDEX($AO$93:$BB$106,MATCH($CW106,$L$93:$L$106,0),MATCH(DG$94,$AO$94:$BB$94,0))/INDEX(고양시_재차인원!$K$4:$O$20,MATCH("경기도",고양시_재차인원!$K$4:$K$20,0),MATCH('A.일산테크노밸리(859991)_수정'!DG$94,고양시_재차인원!$K$4:$O$4,0))</f>
        <v>4.7451374676731266E-2</v>
      </c>
      <c r="DH106" s="273">
        <f>INDEX($AO$93:$BB$106,MATCH($CW106,$L$93:$L$106,0),MATCH(DH$94,$AO$94:$BB$94,0))/INDEX(고양시_재차인원!$K$4:$O$20,MATCH("경기도",고양시_재차인원!$K$4:$K$20,0),MATCH('A.일산테크노밸리(859991)_수정'!DH$94,고양시_재차인원!$K$4:$O$4,0))</f>
        <v>1.8777186836363655</v>
      </c>
      <c r="DI106" s="273">
        <f>INDEX($AO$93:$BB$106,MATCH($CW106,$L$93:$L$106,0),MATCH(DI$94,$AO$94:$BB$94,0))/INDEX(고양시_재차인원!$K$4:$O$20,MATCH("경기도",고양시_재차인원!$K$4:$K$20,0),MATCH('A.일산테크노밸리(859991)_수정'!DI$94,고양시_재차인원!$K$4:$O$4,0))</f>
        <v>33.177323297189403</v>
      </c>
      <c r="DJ106" s="272">
        <f>INDEX($BC$93:$BP$106,MATCH($CW106,$L$93:$L$106,0),MATCH(DJ$94,$BC$94:$BP$94,0))/INDEX(고양시_재차인원!$D$4:$H$35,MATCH("고양시",고양시_재차인원!$B$4:$B$35,0),MATCH('A.일산테크노밸리(859991)_수정'!$DJ$93,고양시_재차인원!$D$4:$H$4,0))</f>
        <v>1.8674613664649711</v>
      </c>
      <c r="DK106" s="273">
        <f>INDEX($BC$93:$BP$106,MATCH($CW106,$L$93:$L$106,0),MATCH(DK$94,$BC$94:$BP$94,0))/INDEX(고양시_재차인원!$K$4:$O$20,MATCH("경기도",고양시_재차인원!$K$4:$K$20,0),MATCH('A.일산테크노밸리(859991)_수정'!DK$94,고양시_재차인원!$K$4:$O$4,0))</f>
        <v>5.6566669056374013E-3</v>
      </c>
      <c r="DL106" s="273">
        <f>INDEX($BC$93:$BP$106,MATCH($CW106,$L$93:$L$106,0),MATCH(DL$94,$BC$94:$BP$94,0))/INDEX(고양시_재차인원!$K$4:$O$20,MATCH("경기도",고양시_재차인원!$K$4:$K$20,0),MATCH('A.일산테크노밸리(859991)_수정'!DL$94,고양시_재차인원!$K$4:$O$4,0))</f>
        <v>3.7711112704249343E-3</v>
      </c>
      <c r="DM106" s="273">
        <f>INDEX($BC$93:$BP$106,MATCH($CW106,$L$93:$L$106,0),MATCH(DM$94,$BC$94:$BP$94,0))/INDEX(고양시_재차인원!$K$4:$O$20,MATCH("경기도",고양시_재차인원!$K$4:$K$20,0),MATCH('A.일산테크노밸리(859991)_수정'!DM$94,고양시_재차인원!$K$4:$O$4,0))</f>
        <v>1.5539251043579234E-2</v>
      </c>
      <c r="DN106" s="272">
        <f>INDEX($BQ$93:$CD$106,MATCH($CW106,$L$93:$L$106,0),MATCH(DN$94,$BQ$94:$CD$94,0))/INDEX(고양시_재차인원!$D$4:$H$35,MATCH("고양시",고양시_재차인원!$B$4:$B$35,0),MATCH('A.일산테크노밸리(859991)_수정'!$DN$93,고양시_재차인원!$D$4:$H$4,0))</f>
        <v>5.6349798688245452</v>
      </c>
      <c r="DO106" s="273">
        <f>INDEX($BQ$93:$CD$106,MATCH($CW106,$L$93:$L$106,0),MATCH(DO$94,$BQ$94:$CD$94,0))/INDEX(고양시_재차인원!$K$4:$O$20,MATCH("경기도",고양시_재차인원!$K$4:$K$20,0),MATCH('A.일산테크노밸리(859991)_수정'!DO$94,고양시_재차인원!$K$4:$O$4,0))</f>
        <v>2.2496466040708259E-2</v>
      </c>
      <c r="DP106" s="273">
        <f>INDEX($BQ$93:$CD$106,MATCH($CW106,$L$93:$L$106,0),MATCH(DP$94,$BQ$94:$CD$94,0))/INDEX(고양시_재차인원!$K$4:$O$20,MATCH("경기도",고양시_재차인원!$K$4:$K$20,0),MATCH('A.일산테크노밸리(859991)_수정'!DP$94,고양시_재차인원!$K$4:$O$4,0))</f>
        <v>7.5135781928447803E-2</v>
      </c>
      <c r="DQ106" s="273">
        <f>INDEX($BQ$93:$CD$106,MATCH($CW106,$L$93:$L$106,0),MATCH(DQ$94,$BQ$94:$CD$94,0))/INDEX(고양시_재차인원!$K$4:$O$20,MATCH("경기도",고양시_재차인원!$K$4:$K$20,0),MATCH('A.일산테크노밸리(859991)_수정'!DQ$94,고양시_재차인원!$K$4:$O$4,0))</f>
        <v>5.4069323806606251E-3</v>
      </c>
      <c r="DR106" s="274">
        <f t="shared" si="60"/>
        <v>10819.048514334821</v>
      </c>
      <c r="DS106" s="275">
        <f t="shared" si="52"/>
        <v>9.1931785985990194E-2</v>
      </c>
      <c r="DT106" s="275">
        <f t="shared" si="53"/>
        <v>47.616630075356611</v>
      </c>
      <c r="DU106" s="275">
        <f t="shared" si="54"/>
        <v>1175.6341919407464</v>
      </c>
      <c r="EC106" s="412" t="s">
        <v>15</v>
      </c>
      <c r="ED106" s="412" t="s">
        <v>90</v>
      </c>
      <c r="EE106" s="412">
        <v>9730.2787000000008</v>
      </c>
      <c r="EF106" s="412">
        <v>4.519121097940456E-2</v>
      </c>
      <c r="EG106" s="413">
        <v>859013</v>
      </c>
      <c r="EH106" s="414">
        <f t="shared" si="55"/>
        <v>372.0951788125505</v>
      </c>
      <c r="EI106" s="415">
        <f t="shared" si="56"/>
        <v>1.4799996207818038</v>
      </c>
      <c r="EJ106" s="402">
        <v>0</v>
      </c>
      <c r="EM106" s="278" t="s">
        <v>15</v>
      </c>
      <c r="EN106" s="278" t="s">
        <v>90</v>
      </c>
      <c r="EO106" s="278">
        <v>9730.2787000000008</v>
      </c>
      <c r="EP106" s="278">
        <v>4.519121097940456E-2</v>
      </c>
      <c r="EQ106" s="289">
        <v>859013</v>
      </c>
      <c r="ER106" s="290">
        <f t="shared" si="37"/>
        <v>372.0951788125505</v>
      </c>
      <c r="ES106" s="291">
        <f t="shared" si="38"/>
        <v>1.4799996207818038</v>
      </c>
      <c r="ET106" s="402">
        <v>0</v>
      </c>
      <c r="EV106" s="34"/>
      <c r="EW106" s="34"/>
      <c r="EX106" s="34"/>
      <c r="EY106" s="34"/>
      <c r="EZ106" s="378"/>
      <c r="FA106" s="401"/>
      <c r="FB106" s="402"/>
      <c r="FC106" s="402"/>
    </row>
    <row r="107" spans="1:159" ht="16.5" customHeight="1">
      <c r="J107" s="230"/>
      <c r="EC107" s="412" t="s">
        <v>15</v>
      </c>
      <c r="ED107" s="412" t="s">
        <v>91</v>
      </c>
      <c r="EE107" s="412">
        <v>11598.4503</v>
      </c>
      <c r="EF107" s="412">
        <v>5.386772883919945E-2</v>
      </c>
      <c r="EG107" s="413">
        <v>859014</v>
      </c>
      <c r="EH107" s="414">
        <f t="shared" si="55"/>
        <v>443.5358504507152</v>
      </c>
      <c r="EI107" s="415">
        <f t="shared" si="56"/>
        <v>1.7641531732957041</v>
      </c>
      <c r="EJ107" s="402">
        <v>0</v>
      </c>
      <c r="EM107" s="278" t="s">
        <v>15</v>
      </c>
      <c r="EN107" s="278" t="s">
        <v>91</v>
      </c>
      <c r="EO107" s="278">
        <v>11598.4503</v>
      </c>
      <c r="EP107" s="278">
        <v>5.386772883919945E-2</v>
      </c>
      <c r="EQ107" s="289">
        <v>859014</v>
      </c>
      <c r="ER107" s="290">
        <f t="shared" si="37"/>
        <v>443.5358504507152</v>
      </c>
      <c r="ES107" s="291">
        <f t="shared" si="38"/>
        <v>1.7641531732957041</v>
      </c>
      <c r="ET107" s="402">
        <v>0</v>
      </c>
      <c r="EV107" s="34"/>
      <c r="EW107" s="34"/>
      <c r="EX107" s="34"/>
      <c r="EY107" s="34"/>
      <c r="EZ107" s="378"/>
      <c r="FA107" s="401"/>
      <c r="FB107" s="402"/>
      <c r="FC107" s="402"/>
    </row>
    <row r="108" spans="1:159">
      <c r="EC108" s="412" t="s">
        <v>15</v>
      </c>
      <c r="ED108" s="412" t="s">
        <v>92</v>
      </c>
      <c r="EE108" s="412">
        <v>20670.0766</v>
      </c>
      <c r="EF108" s="412">
        <v>9.5999901070773372E-2</v>
      </c>
      <c r="EG108" s="413">
        <v>859015</v>
      </c>
      <c r="EH108" s="414">
        <f t="shared" si="55"/>
        <v>790.4435305173854</v>
      </c>
      <c r="EI108" s="415">
        <f t="shared" si="56"/>
        <v>3.1439701238496736</v>
      </c>
      <c r="EJ108" s="402">
        <v>0</v>
      </c>
      <c r="EM108" s="278" t="s">
        <v>15</v>
      </c>
      <c r="EN108" s="278" t="s">
        <v>92</v>
      </c>
      <c r="EO108" s="278">
        <v>20670.0766</v>
      </c>
      <c r="EP108" s="278">
        <v>9.5999901070773372E-2</v>
      </c>
      <c r="EQ108" s="289">
        <v>859015</v>
      </c>
      <c r="ER108" s="290">
        <f t="shared" si="37"/>
        <v>790.4435305173854</v>
      </c>
      <c r="ES108" s="291">
        <f t="shared" si="38"/>
        <v>3.1439701238496736</v>
      </c>
      <c r="ET108" s="402">
        <v>0</v>
      </c>
      <c r="EV108" s="34"/>
      <c r="EW108" s="34"/>
      <c r="EX108" s="34"/>
      <c r="EY108" s="34"/>
      <c r="EZ108" s="378"/>
      <c r="FA108" s="401"/>
      <c r="FB108" s="402"/>
      <c r="FC108" s="402"/>
    </row>
    <row r="109" spans="1:159" ht="16.5" customHeight="1">
      <c r="EC109" s="412" t="s">
        <v>15</v>
      </c>
      <c r="ED109" s="412" t="s">
        <v>93</v>
      </c>
      <c r="EE109" s="412">
        <v>6590.8657999999996</v>
      </c>
      <c r="EF109" s="412">
        <v>3.061055249165083E-2</v>
      </c>
      <c r="EG109" s="413">
        <v>859016</v>
      </c>
      <c r="EH109" s="414">
        <f t="shared" si="55"/>
        <v>252.04102205012109</v>
      </c>
      <c r="EI109" s="415">
        <f t="shared" si="56"/>
        <v>1.0024871008703748</v>
      </c>
      <c r="EJ109" s="402">
        <v>0</v>
      </c>
      <c r="EM109" s="278" t="s">
        <v>15</v>
      </c>
      <c r="EN109" s="278" t="s">
        <v>93</v>
      </c>
      <c r="EO109" s="278">
        <v>6590.8657999999996</v>
      </c>
      <c r="EP109" s="278">
        <v>3.061055249165083E-2</v>
      </c>
      <c r="EQ109" s="289">
        <v>859016</v>
      </c>
      <c r="ER109" s="290">
        <f t="shared" si="37"/>
        <v>252.04102205012109</v>
      </c>
      <c r="ES109" s="291">
        <f t="shared" si="38"/>
        <v>1.0024871008703748</v>
      </c>
      <c r="ET109" s="402">
        <v>0</v>
      </c>
      <c r="EV109" s="34"/>
      <c r="EW109" s="34"/>
      <c r="EX109" s="34"/>
      <c r="EY109" s="34"/>
      <c r="EZ109" s="378"/>
      <c r="FA109" s="401"/>
      <c r="FB109" s="402"/>
      <c r="FC109" s="402"/>
    </row>
    <row r="110" spans="1:159">
      <c r="EC110" s="412" t="s">
        <v>15</v>
      </c>
      <c r="ED110" s="412" t="s">
        <v>94</v>
      </c>
      <c r="EE110" s="412">
        <v>3970.3760000000002</v>
      </c>
      <c r="EF110" s="412">
        <v>1.843997536098985E-2</v>
      </c>
      <c r="EG110" s="413">
        <v>859017</v>
      </c>
      <c r="EH110" s="414">
        <f t="shared" si="55"/>
        <v>151.83098174495854</v>
      </c>
      <c r="EI110" s="415">
        <f t="shared" si="56"/>
        <v>0.60390407670041091</v>
      </c>
      <c r="EJ110" s="402">
        <v>0</v>
      </c>
      <c r="EM110" s="278" t="s">
        <v>15</v>
      </c>
      <c r="EN110" s="278" t="s">
        <v>94</v>
      </c>
      <c r="EO110" s="278">
        <v>3970.3760000000002</v>
      </c>
      <c r="EP110" s="278">
        <v>1.843997536098985E-2</v>
      </c>
      <c r="EQ110" s="289">
        <v>859017</v>
      </c>
      <c r="ER110" s="290">
        <f t="shared" si="37"/>
        <v>151.83098174495854</v>
      </c>
      <c r="ES110" s="291">
        <f t="shared" si="38"/>
        <v>0.60390407670041091</v>
      </c>
      <c r="ET110" s="402">
        <v>0</v>
      </c>
      <c r="EV110" s="34"/>
      <c r="EW110" s="34"/>
      <c r="EX110" s="34"/>
      <c r="EY110" s="34"/>
      <c r="EZ110" s="378"/>
      <c r="FA110" s="401"/>
      <c r="FB110" s="402"/>
      <c r="FC110" s="402"/>
    </row>
    <row r="111" spans="1:159" ht="16.5" customHeight="1">
      <c r="EC111" s="412" t="s">
        <v>15</v>
      </c>
      <c r="ED111" s="412" t="s">
        <v>95</v>
      </c>
      <c r="EE111" s="412">
        <v>14487.1335</v>
      </c>
      <c r="EF111" s="412">
        <v>6.7283900766922491E-2</v>
      </c>
      <c r="EG111" s="413">
        <v>859018</v>
      </c>
      <c r="EH111" s="414">
        <f t="shared" si="55"/>
        <v>554.00186329336998</v>
      </c>
      <c r="EI111" s="415">
        <f t="shared" si="56"/>
        <v>2.2035290814656072</v>
      </c>
      <c r="EJ111" s="402">
        <v>0</v>
      </c>
      <c r="EM111" s="278" t="s">
        <v>15</v>
      </c>
      <c r="EN111" s="278" t="s">
        <v>95</v>
      </c>
      <c r="EO111" s="278">
        <v>14487.1335</v>
      </c>
      <c r="EP111" s="278">
        <v>6.7283900766922491E-2</v>
      </c>
      <c r="EQ111" s="289">
        <v>859018</v>
      </c>
      <c r="ER111" s="290">
        <f t="shared" si="37"/>
        <v>554.00186329336998</v>
      </c>
      <c r="ES111" s="291">
        <f t="shared" si="38"/>
        <v>2.2035290814656072</v>
      </c>
      <c r="ET111" s="402">
        <v>0</v>
      </c>
      <c r="EV111" s="34"/>
      <c r="EW111" s="34"/>
      <c r="EX111" s="34"/>
      <c r="EY111" s="34"/>
      <c r="EZ111" s="378"/>
      <c r="FA111" s="401"/>
      <c r="FB111" s="402"/>
      <c r="FC111" s="402"/>
    </row>
    <row r="112" spans="1:159">
      <c r="AP112" t="s">
        <v>147</v>
      </c>
      <c r="AQ112" t="s">
        <v>148</v>
      </c>
      <c r="AR112" s="32" t="s">
        <v>74</v>
      </c>
      <c r="AS112" t="s">
        <v>563</v>
      </c>
      <c r="EC112" s="412" t="s">
        <v>15</v>
      </c>
      <c r="ED112" s="412" t="s">
        <v>96</v>
      </c>
      <c r="EE112" s="412">
        <v>7440.5132000000003</v>
      </c>
      <c r="EF112" s="412">
        <v>3.4556646544589169E-2</v>
      </c>
      <c r="EG112" s="413">
        <v>859019</v>
      </c>
      <c r="EH112" s="414">
        <f t="shared" si="55"/>
        <v>284.5323525636673</v>
      </c>
      <c r="EI112" s="415">
        <f t="shared" si="56"/>
        <v>1.1317205862173307</v>
      </c>
      <c r="EJ112" s="402">
        <v>0</v>
      </c>
      <c r="EM112" s="278" t="s">
        <v>15</v>
      </c>
      <c r="EN112" s="278" t="s">
        <v>96</v>
      </c>
      <c r="EO112" s="278">
        <v>7440.5132000000003</v>
      </c>
      <c r="EP112" s="278">
        <v>3.4556646544589169E-2</v>
      </c>
      <c r="EQ112" s="289">
        <v>859019</v>
      </c>
      <c r="ER112" s="290">
        <f t="shared" si="37"/>
        <v>284.5323525636673</v>
      </c>
      <c r="ES112" s="291">
        <f t="shared" si="38"/>
        <v>1.1317205862173307</v>
      </c>
      <c r="ET112" s="402">
        <v>0</v>
      </c>
      <c r="EV112" s="34"/>
      <c r="EW112" s="34"/>
      <c r="EX112" s="34"/>
      <c r="EY112" s="34"/>
      <c r="EZ112" s="378"/>
      <c r="FA112" s="401"/>
      <c r="FB112" s="402"/>
      <c r="FC112" s="402"/>
    </row>
    <row r="113" spans="32:159">
      <c r="AP113" t="s">
        <v>12</v>
      </c>
      <c r="AQ113" t="s">
        <v>73</v>
      </c>
      <c r="AR113" s="75">
        <v>11477.778199999999</v>
      </c>
      <c r="AS113" s="277">
        <f>AR113/SUMIF($AP$113:$AP$157,"="&amp;$AP113,$AR$113:$AR$157)</f>
        <v>1</v>
      </c>
      <c r="EC113" s="412" t="s">
        <v>15</v>
      </c>
      <c r="ED113" s="412" t="s">
        <v>97</v>
      </c>
      <c r="EE113" s="412">
        <v>20150.029900000001</v>
      </c>
      <c r="EF113" s="412">
        <v>9.3584601276858623E-2</v>
      </c>
      <c r="EG113" s="413">
        <v>859020</v>
      </c>
      <c r="EH113" s="414">
        <f t="shared" si="55"/>
        <v>770.55644651974239</v>
      </c>
      <c r="EI113" s="415">
        <f t="shared" si="56"/>
        <v>3.0648697257501998</v>
      </c>
      <c r="EJ113" s="402">
        <v>0</v>
      </c>
      <c r="EM113" s="278" t="s">
        <v>15</v>
      </c>
      <c r="EN113" s="278" t="s">
        <v>97</v>
      </c>
      <c r="EO113" s="278">
        <v>20150.029900000001</v>
      </c>
      <c r="EP113" s="278">
        <v>9.3584601276858623E-2</v>
      </c>
      <c r="EQ113" s="289">
        <v>859020</v>
      </c>
      <c r="ER113" s="290">
        <f t="shared" si="37"/>
        <v>770.55644651974239</v>
      </c>
      <c r="ES113" s="291">
        <f t="shared" si="38"/>
        <v>3.0648697257501998</v>
      </c>
      <c r="ET113" s="402">
        <v>0</v>
      </c>
      <c r="EV113" s="34"/>
      <c r="EW113" s="34"/>
      <c r="EX113" s="34"/>
      <c r="EY113" s="34"/>
      <c r="EZ113" s="378"/>
      <c r="FA113" s="401"/>
      <c r="FB113" s="402"/>
      <c r="FC113" s="402"/>
    </row>
    <row r="114" spans="32:159">
      <c r="AP114" t="s">
        <v>13</v>
      </c>
      <c r="AQ114" t="s">
        <v>75</v>
      </c>
      <c r="AR114" s="75">
        <v>907.24059999999997</v>
      </c>
      <c r="AS114" s="277">
        <f t="shared" ref="AS114:AS157" si="63">AR114/SUMIF($AP$113:$AP$157,"="&amp;$AP114,$AR$113:$AR$157)</f>
        <v>0.22444210067316503</v>
      </c>
      <c r="EC114" s="412" t="s">
        <v>15</v>
      </c>
      <c r="ED114" s="412" t="s">
        <v>98</v>
      </c>
      <c r="EE114" s="412">
        <v>8631.4781000000003</v>
      </c>
      <c r="EF114" s="412">
        <v>4.0087952247576428E-2</v>
      </c>
      <c r="EG114" s="413">
        <v>859021</v>
      </c>
      <c r="EH114" s="414">
        <f t="shared" si="55"/>
        <v>330.07599124947097</v>
      </c>
      <c r="EI114" s="415">
        <f t="shared" si="56"/>
        <v>1.3128693132691509</v>
      </c>
      <c r="EJ114" s="402">
        <v>0</v>
      </c>
      <c r="EM114" s="278" t="s">
        <v>15</v>
      </c>
      <c r="EN114" s="278" t="s">
        <v>98</v>
      </c>
      <c r="EO114" s="278">
        <v>8631.4781000000003</v>
      </c>
      <c r="EP114" s="278">
        <v>4.0087952247576428E-2</v>
      </c>
      <c r="EQ114" s="289">
        <v>859021</v>
      </c>
      <c r="ER114" s="290">
        <f t="shared" si="37"/>
        <v>330.07599124947097</v>
      </c>
      <c r="ES114" s="291">
        <f t="shared" si="38"/>
        <v>1.3128693132691509</v>
      </c>
      <c r="ET114" s="402">
        <v>0</v>
      </c>
      <c r="EV114" s="34"/>
      <c r="EW114" s="34"/>
      <c r="EX114" s="34"/>
      <c r="EY114" s="34"/>
      <c r="EZ114" s="378"/>
      <c r="FA114" s="401"/>
      <c r="FB114" s="402"/>
      <c r="FC114" s="402"/>
    </row>
    <row r="115" spans="32:159" ht="17.25" customHeight="1">
      <c r="AP115" t="s">
        <v>13</v>
      </c>
      <c r="AQ115" t="s">
        <v>77</v>
      </c>
      <c r="AR115" s="75">
        <v>3134.9627</v>
      </c>
      <c r="AS115" s="277">
        <f t="shared" si="63"/>
        <v>0.77555789932683494</v>
      </c>
      <c r="EC115" s="412" t="s">
        <v>15</v>
      </c>
      <c r="ED115" s="412" t="s">
        <v>99</v>
      </c>
      <c r="EE115" s="412">
        <v>11977.777099999999</v>
      </c>
      <c r="EF115" s="412">
        <v>5.56294705094501E-2</v>
      </c>
      <c r="EG115" s="413">
        <v>859022</v>
      </c>
      <c r="EH115" s="414">
        <f t="shared" si="55"/>
        <v>458.04167066677871</v>
      </c>
      <c r="EI115" s="415">
        <f t="shared" si="56"/>
        <v>1.8218497241819982</v>
      </c>
      <c r="EJ115" s="402">
        <v>0</v>
      </c>
      <c r="EM115" s="278" t="s">
        <v>15</v>
      </c>
      <c r="EN115" s="278" t="s">
        <v>99</v>
      </c>
      <c r="EO115" s="278">
        <v>11977.777099999999</v>
      </c>
      <c r="EP115" s="278">
        <v>5.56294705094501E-2</v>
      </c>
      <c r="EQ115" s="289">
        <v>859022</v>
      </c>
      <c r="ER115" s="290">
        <f t="shared" si="37"/>
        <v>458.04167066677871</v>
      </c>
      <c r="ES115" s="291">
        <f t="shared" si="38"/>
        <v>1.8218497241819982</v>
      </c>
      <c r="ET115" s="402">
        <v>0</v>
      </c>
      <c r="EV115" s="34"/>
      <c r="EW115" s="34"/>
      <c r="EX115" s="34"/>
      <c r="EY115" s="34"/>
      <c r="EZ115" s="378"/>
      <c r="FA115" s="401"/>
      <c r="FB115" s="402"/>
      <c r="FC115" s="402"/>
    </row>
    <row r="116" spans="32:159" ht="17.5" thickBot="1">
      <c r="AF116" s="8">
        <v>6288</v>
      </c>
      <c r="AG116" s="8">
        <v>5368</v>
      </c>
      <c r="AH116" s="8">
        <v>6892</v>
      </c>
      <c r="AI116" s="8">
        <v>1592</v>
      </c>
      <c r="AJ116" s="8">
        <v>1224</v>
      </c>
      <c r="AK116" s="8">
        <v>4076</v>
      </c>
      <c r="AL116" s="8">
        <v>2182</v>
      </c>
      <c r="AM116" s="9">
        <v>688</v>
      </c>
      <c r="AN116" s="17">
        <v>82104</v>
      </c>
      <c r="AP116" t="s">
        <v>137</v>
      </c>
      <c r="AQ116" t="s">
        <v>78</v>
      </c>
      <c r="AR116" s="75">
        <v>5454.9395000000004</v>
      </c>
      <c r="AS116" s="277">
        <f t="shared" si="63"/>
        <v>0.43129277327301779</v>
      </c>
      <c r="EC116" s="412" t="s">
        <v>15</v>
      </c>
      <c r="ED116" s="412" t="s">
        <v>100</v>
      </c>
      <c r="EE116" s="412">
        <v>5754.1068999999998</v>
      </c>
      <c r="EF116" s="412">
        <v>2.672431766172818E-2</v>
      </c>
      <c r="EG116" s="413">
        <v>859023</v>
      </c>
      <c r="EH116" s="414">
        <f t="shared" si="55"/>
        <v>220.04256012338377</v>
      </c>
      <c r="EI116" s="415">
        <f t="shared" si="56"/>
        <v>0.87521398846858933</v>
      </c>
      <c r="EJ116" s="402">
        <v>0</v>
      </c>
      <c r="EM116" s="278" t="s">
        <v>15</v>
      </c>
      <c r="EN116" s="278" t="s">
        <v>100</v>
      </c>
      <c r="EO116" s="278">
        <v>5754.1068999999998</v>
      </c>
      <c r="EP116" s="278">
        <v>2.672431766172818E-2</v>
      </c>
      <c r="EQ116" s="289">
        <v>859023</v>
      </c>
      <c r="ER116" s="290">
        <f t="shared" si="37"/>
        <v>220.04256012338377</v>
      </c>
      <c r="ES116" s="291">
        <f t="shared" si="38"/>
        <v>0.87521398846858933</v>
      </c>
      <c r="ET116" s="402">
        <v>0</v>
      </c>
      <c r="EV116" s="34"/>
      <c r="EW116" s="34"/>
      <c r="EX116" s="34"/>
      <c r="EY116" s="34"/>
      <c r="EZ116" s="378"/>
      <c r="FA116" s="401"/>
      <c r="FB116" s="402"/>
      <c r="FC116" s="402"/>
    </row>
    <row r="117" spans="32:159" ht="18" customHeight="1" thickTop="1" thickBot="1">
      <c r="AF117" s="8">
        <v>1156</v>
      </c>
      <c r="AG117" s="8">
        <v>1380</v>
      </c>
      <c r="AH117" s="8">
        <v>18740</v>
      </c>
      <c r="AI117" s="8">
        <v>8902</v>
      </c>
      <c r="AJ117" s="8">
        <v>7994</v>
      </c>
      <c r="AK117" s="8">
        <v>1844</v>
      </c>
      <c r="AL117" s="8">
        <v>5728</v>
      </c>
      <c r="AM117" s="8">
        <v>4500</v>
      </c>
      <c r="AN117" s="17">
        <v>71140</v>
      </c>
      <c r="AP117" t="s">
        <v>14</v>
      </c>
      <c r="AQ117" t="s">
        <v>80</v>
      </c>
      <c r="AR117" s="75">
        <v>7192.9411</v>
      </c>
      <c r="AS117" s="277">
        <f t="shared" si="63"/>
        <v>0.56870722672698226</v>
      </c>
      <c r="EC117" s="412" t="s">
        <v>15</v>
      </c>
      <c r="ED117" s="412" t="s">
        <v>101</v>
      </c>
      <c r="EE117" s="412">
        <v>6005.2467999999999</v>
      </c>
      <c r="EF117" s="412">
        <v>2.7890709350616452E-2</v>
      </c>
      <c r="EG117" s="413">
        <v>859024</v>
      </c>
      <c r="EH117" s="414">
        <f t="shared" si="55"/>
        <v>229.64639048411806</v>
      </c>
      <c r="EI117" s="415">
        <f t="shared" si="56"/>
        <v>0.91341299265160214</v>
      </c>
      <c r="EJ117" s="402">
        <v>0</v>
      </c>
      <c r="EM117" s="278" t="s">
        <v>15</v>
      </c>
      <c r="EN117" s="278" t="s">
        <v>101</v>
      </c>
      <c r="EO117" s="278">
        <v>6005.2467999999999</v>
      </c>
      <c r="EP117" s="278">
        <v>2.7890709350616452E-2</v>
      </c>
      <c r="EQ117" s="289">
        <v>859024</v>
      </c>
      <c r="ER117" s="290">
        <f t="shared" si="37"/>
        <v>229.64639048411806</v>
      </c>
      <c r="ES117" s="291">
        <f t="shared" si="38"/>
        <v>0.91341299265160214</v>
      </c>
      <c r="ET117" s="402">
        <v>0</v>
      </c>
      <c r="EV117" s="34"/>
      <c r="EW117" s="34"/>
      <c r="EX117" s="34"/>
      <c r="EY117" s="34"/>
      <c r="EZ117" s="378"/>
      <c r="FA117" s="401"/>
      <c r="FB117" s="402"/>
      <c r="FC117" s="402"/>
    </row>
    <row r="118" spans="32:159" ht="18" thickTop="1" thickBot="1">
      <c r="AF118" s="8">
        <v>7444</v>
      </c>
      <c r="AG118" s="8">
        <v>6748</v>
      </c>
      <c r="AH118" s="8">
        <v>25632</v>
      </c>
      <c r="AI118" s="8">
        <v>10494</v>
      </c>
      <c r="AJ118" s="8">
        <v>9218</v>
      </c>
      <c r="AK118" s="8">
        <v>5920</v>
      </c>
      <c r="AL118" s="8">
        <v>7910</v>
      </c>
      <c r="AM118" s="8">
        <v>5188</v>
      </c>
      <c r="AN118" s="17">
        <v>153244</v>
      </c>
      <c r="AP118" t="s">
        <v>139</v>
      </c>
      <c r="AQ118" t="s">
        <v>85</v>
      </c>
      <c r="AR118" s="75">
        <v>24085.599100000003</v>
      </c>
      <c r="AS118" s="277">
        <f t="shared" si="63"/>
        <v>0.11186292027724311</v>
      </c>
      <c r="EC118" s="412" t="s">
        <v>16</v>
      </c>
      <c r="ED118" s="412" t="s">
        <v>575</v>
      </c>
      <c r="EE118" s="412">
        <v>10596.0813</v>
      </c>
      <c r="EF118" s="412">
        <v>0.3566329663552395</v>
      </c>
      <c r="EG118" s="413">
        <v>859025</v>
      </c>
      <c r="EH118" s="414">
        <f t="shared" si="55"/>
        <v>318.27408047834257</v>
      </c>
      <c r="EI118" s="415">
        <f t="shared" si="56"/>
        <v>1.2659274971415897</v>
      </c>
      <c r="EJ118" s="402">
        <v>0</v>
      </c>
      <c r="EM118" s="278" t="s">
        <v>16</v>
      </c>
      <c r="EN118" s="278" t="s">
        <v>575</v>
      </c>
      <c r="EO118" s="278">
        <v>10596.0813</v>
      </c>
      <c r="EP118" s="278">
        <v>0.3566329663552395</v>
      </c>
      <c r="EQ118" s="289">
        <v>859025</v>
      </c>
      <c r="ER118" s="290">
        <f t="shared" si="37"/>
        <v>318.27408047834257</v>
      </c>
      <c r="ES118" s="291">
        <f t="shared" si="38"/>
        <v>1.2659274971415897</v>
      </c>
      <c r="ET118" s="402">
        <v>0</v>
      </c>
      <c r="EV118" s="34"/>
      <c r="EW118" s="34"/>
      <c r="EX118" s="34"/>
      <c r="EY118" s="34"/>
      <c r="EZ118" s="378"/>
      <c r="FA118" s="401"/>
      <c r="FB118" s="402"/>
      <c r="FC118" s="402"/>
    </row>
    <row r="119" spans="32:159" ht="18" thickTop="1" thickBot="1">
      <c r="AF119" s="8">
        <v>6184</v>
      </c>
      <c r="AG119" s="8">
        <v>5280</v>
      </c>
      <c r="AH119" s="8">
        <v>6780</v>
      </c>
      <c r="AI119" s="8">
        <v>1566</v>
      </c>
      <c r="AJ119" s="8">
        <v>1204</v>
      </c>
      <c r="AK119" s="8">
        <v>4010</v>
      </c>
      <c r="AL119" s="8">
        <v>2146</v>
      </c>
      <c r="AM119" s="9">
        <v>676</v>
      </c>
      <c r="AN119" s="17">
        <v>80762</v>
      </c>
      <c r="AP119" t="s">
        <v>15</v>
      </c>
      <c r="AQ119" t="s">
        <v>81</v>
      </c>
      <c r="AR119" s="75">
        <v>10713.892900000001</v>
      </c>
      <c r="AS119" s="277">
        <f t="shared" si="63"/>
        <v>4.9759499124587728E-2</v>
      </c>
      <c r="EC119" s="412" t="s">
        <v>16</v>
      </c>
      <c r="ED119" s="412" t="s">
        <v>576</v>
      </c>
      <c r="EE119" s="412">
        <v>10127.7948</v>
      </c>
      <c r="EF119" s="412">
        <v>0.34087181854306553</v>
      </c>
      <c r="EG119" s="413">
        <v>859026</v>
      </c>
      <c r="EH119" s="414">
        <f t="shared" si="55"/>
        <v>304.20817715350483</v>
      </c>
      <c r="EI119" s="415">
        <f t="shared" si="56"/>
        <v>1.2099807051053497</v>
      </c>
      <c r="EJ119" s="402">
        <v>0</v>
      </c>
      <c r="EM119" s="278" t="s">
        <v>16</v>
      </c>
      <c r="EN119" s="278" t="s">
        <v>576</v>
      </c>
      <c r="EO119" s="278">
        <v>10127.7948</v>
      </c>
      <c r="EP119" s="278">
        <v>0.34087181854306553</v>
      </c>
      <c r="EQ119" s="289">
        <v>859026</v>
      </c>
      <c r="ER119" s="290">
        <f t="shared" si="37"/>
        <v>304.20817715350483</v>
      </c>
      <c r="ES119" s="291">
        <f t="shared" si="38"/>
        <v>1.2099807051053497</v>
      </c>
      <c r="ET119" s="402">
        <v>0</v>
      </c>
      <c r="EV119" s="34"/>
      <c r="EW119" s="34"/>
      <c r="EX119" s="34"/>
      <c r="EY119" s="34"/>
      <c r="EZ119" s="378"/>
      <c r="FA119" s="401"/>
      <c r="FB119" s="402"/>
      <c r="FC119" s="402"/>
    </row>
    <row r="120" spans="32:159" ht="18" thickTop="1" thickBot="1">
      <c r="AF120" s="8">
        <v>1156</v>
      </c>
      <c r="AG120" s="8">
        <v>1380</v>
      </c>
      <c r="AH120" s="8">
        <v>18732</v>
      </c>
      <c r="AI120" s="8">
        <v>8898</v>
      </c>
      <c r="AJ120" s="8">
        <v>7990</v>
      </c>
      <c r="AK120" s="8">
        <v>1844</v>
      </c>
      <c r="AL120" s="8">
        <v>5726</v>
      </c>
      <c r="AM120" s="8">
        <v>4498</v>
      </c>
      <c r="AN120" s="17">
        <v>71114</v>
      </c>
      <c r="AP120" t="s">
        <v>15</v>
      </c>
      <c r="AQ120" t="s">
        <v>82</v>
      </c>
      <c r="AR120" s="75">
        <v>10028.5581</v>
      </c>
      <c r="AS120" s="277">
        <f t="shared" si="63"/>
        <v>4.6576536899844041E-2</v>
      </c>
      <c r="EC120" s="412" t="s">
        <v>16</v>
      </c>
      <c r="ED120" s="412" t="s">
        <v>382</v>
      </c>
      <c r="EE120" s="412">
        <v>8987.5704000000005</v>
      </c>
      <c r="EF120" s="412">
        <v>0.30249521510169491</v>
      </c>
      <c r="EG120" s="413">
        <v>859027</v>
      </c>
      <c r="EH120" s="414">
        <f t="shared" si="55"/>
        <v>269.95930134986509</v>
      </c>
      <c r="EI120" s="415">
        <f t="shared" si="56"/>
        <v>1.0737566256551694</v>
      </c>
      <c r="EJ120" s="402">
        <v>0</v>
      </c>
      <c r="EM120" s="278" t="s">
        <v>16</v>
      </c>
      <c r="EN120" s="278" t="s">
        <v>382</v>
      </c>
      <c r="EO120" s="278">
        <v>8987.5704000000005</v>
      </c>
      <c r="EP120" s="278">
        <v>0.30249521510169491</v>
      </c>
      <c r="EQ120" s="289">
        <v>859027</v>
      </c>
      <c r="ER120" s="290">
        <f t="shared" si="37"/>
        <v>269.95930134986509</v>
      </c>
      <c r="ES120" s="291">
        <f t="shared" si="38"/>
        <v>1.0737566256551694</v>
      </c>
      <c r="ET120" s="402">
        <v>0</v>
      </c>
      <c r="EV120" s="34"/>
      <c r="EW120" s="34"/>
      <c r="EX120" s="34"/>
      <c r="EY120" s="34"/>
      <c r="EZ120" s="378"/>
      <c r="FA120" s="401"/>
      <c r="FB120" s="402"/>
      <c r="FC120" s="402"/>
    </row>
    <row r="121" spans="32:159" ht="18" thickTop="1" thickBot="1">
      <c r="AF121" s="11">
        <v>7340</v>
      </c>
      <c r="AG121" s="11">
        <v>6660</v>
      </c>
      <c r="AH121" s="11">
        <v>25512</v>
      </c>
      <c r="AI121" s="11">
        <v>10464</v>
      </c>
      <c r="AJ121" s="11">
        <v>9194</v>
      </c>
      <c r="AK121" s="11">
        <v>5854</v>
      </c>
      <c r="AL121" s="11">
        <v>7872</v>
      </c>
      <c r="AM121" s="11">
        <v>5174</v>
      </c>
      <c r="AN121" s="18">
        <v>151876</v>
      </c>
      <c r="AP121" t="s">
        <v>15</v>
      </c>
      <c r="AQ121" t="s">
        <v>88</v>
      </c>
      <c r="AR121" s="75">
        <v>21685.084499999997</v>
      </c>
      <c r="AS121" s="277">
        <f t="shared" si="63"/>
        <v>0.10071399380839066</v>
      </c>
      <c r="EC121" s="412" t="s">
        <v>17</v>
      </c>
      <c r="ED121" s="412" t="s">
        <v>577</v>
      </c>
      <c r="EE121" s="412">
        <v>2607.4872</v>
      </c>
      <c r="EF121" s="412">
        <v>3.7361234000204045E-2</v>
      </c>
      <c r="EG121" s="413">
        <v>859028</v>
      </c>
      <c r="EH121" s="414">
        <f t="shared" si="55"/>
        <v>28.464330435182966</v>
      </c>
      <c r="EI121" s="415">
        <f t="shared" si="56"/>
        <v>0.11321618942851464</v>
      </c>
      <c r="EJ121" s="402">
        <f t="shared" ref="EJ121" si="64">VLOOKUP($ED121,$AC$190:$AG$196,5,FALSE)</f>
        <v>54.476907287197022</v>
      </c>
      <c r="EM121" s="278" t="s">
        <v>17</v>
      </c>
      <c r="EN121" s="278" t="s">
        <v>577</v>
      </c>
      <c r="EO121" s="278">
        <v>2607.4872</v>
      </c>
      <c r="EP121" s="278">
        <v>3.7361234000204045E-2</v>
      </c>
      <c r="EQ121" s="289">
        <v>859028</v>
      </c>
      <c r="ER121" s="290">
        <f t="shared" si="37"/>
        <v>28.464330435182966</v>
      </c>
      <c r="ES121" s="291">
        <f t="shared" si="38"/>
        <v>0.11321618942851464</v>
      </c>
      <c r="ET121" s="402">
        <f t="shared" ref="ET121" si="65">VLOOKUP($ED121,$AC$180:$AG$186,5,FALSE)</f>
        <v>54.47052906436727</v>
      </c>
      <c r="EV121" s="34"/>
      <c r="EW121" s="34"/>
      <c r="EX121" s="34"/>
      <c r="EY121" s="34"/>
      <c r="EZ121" s="378"/>
      <c r="FA121" s="401"/>
      <c r="FB121" s="402"/>
      <c r="FC121" s="402"/>
    </row>
    <row r="122" spans="32:159" ht="17.5" thickTop="1">
      <c r="AP122" t="s">
        <v>15</v>
      </c>
      <c r="AQ122" t="s">
        <v>83</v>
      </c>
      <c r="AR122" s="75">
        <v>10018.5584</v>
      </c>
      <c r="AS122" s="277">
        <f t="shared" si="63"/>
        <v>4.6530094391220855E-2</v>
      </c>
      <c r="EC122" s="412" t="s">
        <v>17</v>
      </c>
      <c r="ED122" s="412" t="s">
        <v>103</v>
      </c>
      <c r="EE122" s="412">
        <v>15824.4439</v>
      </c>
      <c r="EF122" s="412">
        <v>0.22673965627559034</v>
      </c>
      <c r="EG122" s="413">
        <v>859029</v>
      </c>
      <c r="EH122" s="414">
        <f t="shared" si="55"/>
        <v>172.74569943147387</v>
      </c>
      <c r="EI122" s="415">
        <f t="shared" si="56"/>
        <v>0.6870918630715821</v>
      </c>
      <c r="EJ122" s="402">
        <f>VLOOKUP($ED122,$AC$190:$AG$196,5,FALSE)</f>
        <v>330.61207863714549</v>
      </c>
      <c r="EM122" s="278" t="s">
        <v>17</v>
      </c>
      <c r="EN122" s="278" t="s">
        <v>103</v>
      </c>
      <c r="EO122" s="278">
        <v>15824.4439</v>
      </c>
      <c r="EP122" s="278">
        <v>0.22673965627559034</v>
      </c>
      <c r="EQ122" s="289">
        <v>859029</v>
      </c>
      <c r="ER122" s="290">
        <f t="shared" si="37"/>
        <v>172.74569943147387</v>
      </c>
      <c r="ES122" s="291">
        <f t="shared" si="38"/>
        <v>0.6870918630715821</v>
      </c>
      <c r="ET122" s="402">
        <f>VLOOKUP($ED122,$AC$180:$AG$186,5,FALSE)</f>
        <v>330.57337017125121</v>
      </c>
      <c r="EV122" s="34"/>
      <c r="EW122" s="34"/>
      <c r="EX122" s="34"/>
      <c r="EY122" s="34"/>
      <c r="EZ122" s="378"/>
      <c r="FA122" s="401"/>
      <c r="FB122" s="402"/>
      <c r="FC122" s="402"/>
    </row>
    <row r="123" spans="32:159">
      <c r="AP123" t="s">
        <v>15</v>
      </c>
      <c r="AQ123" t="s">
        <v>84</v>
      </c>
      <c r="AR123" s="75">
        <v>5030.8546999999999</v>
      </c>
      <c r="AS123" s="277">
        <f t="shared" si="63"/>
        <v>2.3365252236241602E-2</v>
      </c>
      <c r="EC123" s="412" t="s">
        <v>17</v>
      </c>
      <c r="ED123" s="412" t="s">
        <v>104</v>
      </c>
      <c r="EE123" s="412">
        <v>11511.7454</v>
      </c>
      <c r="EF123" s="412">
        <v>0.16494539786817458</v>
      </c>
      <c r="EG123" s="413">
        <v>859030</v>
      </c>
      <c r="EH123" s="414">
        <f t="shared" si="55"/>
        <v>125.66662837359182</v>
      </c>
      <c r="EI123" s="415">
        <f t="shared" si="56"/>
        <v>0.49983599070370582</v>
      </c>
      <c r="EJ123" s="402">
        <f t="shared" ref="EJ123:EJ126" si="66">VLOOKUP($ED123,$AC$190:$AG$196,5,FALSE)</f>
        <v>240.50905671545263</v>
      </c>
      <c r="EM123" s="278" t="s">
        <v>17</v>
      </c>
      <c r="EN123" s="278" t="s">
        <v>104</v>
      </c>
      <c r="EO123" s="278">
        <v>11511.7454</v>
      </c>
      <c r="EP123" s="278">
        <v>0.16494539786817458</v>
      </c>
      <c r="EQ123" s="289">
        <v>859030</v>
      </c>
      <c r="ER123" s="290">
        <f t="shared" si="37"/>
        <v>125.66662837359182</v>
      </c>
      <c r="ES123" s="291">
        <f t="shared" si="38"/>
        <v>0.49983599070370582</v>
      </c>
      <c r="ET123" s="402">
        <f t="shared" ref="ET123:ET126" si="67">VLOOKUP($ED123,$AC$180:$AG$186,5,FALSE)</f>
        <v>240.48089762139432</v>
      </c>
      <c r="EV123" s="34"/>
      <c r="EW123" s="34"/>
      <c r="EX123" s="34"/>
      <c r="EY123" s="34"/>
      <c r="EZ123" s="378"/>
      <c r="FA123" s="401"/>
      <c r="FB123" s="402"/>
      <c r="FC123" s="402"/>
    </row>
    <row r="124" spans="32:159">
      <c r="AP124" t="s">
        <v>15</v>
      </c>
      <c r="AQ124" t="s">
        <v>89</v>
      </c>
      <c r="AR124" s="75">
        <v>6744.6391999999996</v>
      </c>
      <c r="AS124" s="277">
        <f t="shared" si="63"/>
        <v>3.132473616271262E-2</v>
      </c>
      <c r="EC124" s="412" t="s">
        <v>17</v>
      </c>
      <c r="ED124" s="412" t="s">
        <v>117</v>
      </c>
      <c r="EE124" s="412">
        <v>4659.9287999999997</v>
      </c>
      <c r="EF124" s="412">
        <v>6.6769528272694875E-2</v>
      </c>
      <c r="EG124" s="413">
        <v>859031</v>
      </c>
      <c r="EH124" s="414">
        <f t="shared" si="55"/>
        <v>50.869570200622881</v>
      </c>
      <c r="EI124" s="415">
        <f t="shared" si="56"/>
        <v>0.20233249150530472</v>
      </c>
      <c r="EJ124" s="402">
        <f t="shared" si="66"/>
        <v>97.357528429109522</v>
      </c>
      <c r="EM124" s="278" t="s">
        <v>17</v>
      </c>
      <c r="EN124" s="278" t="s">
        <v>117</v>
      </c>
      <c r="EO124" s="278">
        <v>4659.9287999999997</v>
      </c>
      <c r="EP124" s="278">
        <v>6.6769528272694875E-2</v>
      </c>
      <c r="EQ124" s="289">
        <v>859031</v>
      </c>
      <c r="ER124" s="290">
        <f t="shared" si="37"/>
        <v>50.869570200622881</v>
      </c>
      <c r="ES124" s="291">
        <f t="shared" si="38"/>
        <v>0.20233249150530472</v>
      </c>
      <c r="ET124" s="402">
        <f t="shared" si="67"/>
        <v>97.34612969079275</v>
      </c>
      <c r="EV124" s="34"/>
      <c r="EW124" s="34"/>
      <c r="EX124" s="34"/>
      <c r="EY124" s="34"/>
      <c r="EZ124" s="378"/>
      <c r="FA124" s="401"/>
      <c r="FB124" s="402"/>
      <c r="FC124" s="402"/>
    </row>
    <row r="125" spans="32:159">
      <c r="AP125" t="s">
        <v>15</v>
      </c>
      <c r="AQ125" t="s">
        <v>90</v>
      </c>
      <c r="AR125" s="75">
        <v>9730.2787000000008</v>
      </c>
      <c r="AS125" s="277">
        <f t="shared" si="63"/>
        <v>4.519121097940456E-2</v>
      </c>
      <c r="EC125" s="412" t="s">
        <v>17</v>
      </c>
      <c r="ED125" s="412" t="s">
        <v>118</v>
      </c>
      <c r="EE125" s="412">
        <v>23055.857</v>
      </c>
      <c r="EF125" s="412">
        <v>0.33035455301649896</v>
      </c>
      <c r="EG125" s="413">
        <v>859032</v>
      </c>
      <c r="EH125" s="414">
        <f t="shared" si="55"/>
        <v>251.68657860116292</v>
      </c>
      <c r="EI125" s="415">
        <f t="shared" si="56"/>
        <v>1.0010773105803723</v>
      </c>
      <c r="EJ125" s="402">
        <f t="shared" si="66"/>
        <v>481.69432402808053</v>
      </c>
      <c r="EM125" s="278" t="s">
        <v>17</v>
      </c>
      <c r="EN125" s="278" t="s">
        <v>118</v>
      </c>
      <c r="EO125" s="278">
        <v>23055.857</v>
      </c>
      <c r="EP125" s="278">
        <v>0.33035455301649896</v>
      </c>
      <c r="EQ125" s="289">
        <v>859032</v>
      </c>
      <c r="ER125" s="290">
        <f t="shared" si="37"/>
        <v>251.68657860116292</v>
      </c>
      <c r="ES125" s="291">
        <f t="shared" si="38"/>
        <v>1.0010773105803723</v>
      </c>
      <c r="ET125" s="402">
        <f t="shared" si="67"/>
        <v>481.63792666840152</v>
      </c>
      <c r="EV125" s="34"/>
      <c r="EW125" s="34"/>
      <c r="EX125" s="34"/>
      <c r="EY125" s="34"/>
      <c r="EZ125" s="378"/>
      <c r="FA125" s="401"/>
      <c r="FB125" s="402"/>
      <c r="FC125" s="402"/>
    </row>
    <row r="126" spans="32:159">
      <c r="AP126" t="s">
        <v>15</v>
      </c>
      <c r="AQ126" t="s">
        <v>91</v>
      </c>
      <c r="AR126" s="75">
        <v>11598.4503</v>
      </c>
      <c r="AS126" s="277">
        <f t="shared" si="63"/>
        <v>5.386772883919945E-2</v>
      </c>
      <c r="EC126" s="412" t="s">
        <v>17</v>
      </c>
      <c r="ED126" s="412" t="s">
        <v>119</v>
      </c>
      <c r="EE126" s="412">
        <v>12131.7871</v>
      </c>
      <c r="EF126" s="412">
        <v>0.17382963056683723</v>
      </c>
      <c r="EG126" s="413">
        <v>859033</v>
      </c>
      <c r="EH126" s="414">
        <f t="shared" si="55"/>
        <v>132.43524140164143</v>
      </c>
      <c r="EI126" s="415">
        <f t="shared" si="56"/>
        <v>0.52675798616384784</v>
      </c>
      <c r="EJ126" s="402">
        <f t="shared" si="66"/>
        <v>253.4632734054122</v>
      </c>
      <c r="EM126" s="278" t="s">
        <v>17</v>
      </c>
      <c r="EN126" s="278" t="s">
        <v>119</v>
      </c>
      <c r="EO126" s="278">
        <v>12131.7871</v>
      </c>
      <c r="EP126" s="278">
        <v>0.17382963056683723</v>
      </c>
      <c r="EQ126" s="289">
        <v>859033</v>
      </c>
      <c r="ER126" s="290">
        <f t="shared" si="37"/>
        <v>132.43524140164143</v>
      </c>
      <c r="ES126" s="291">
        <f t="shared" si="38"/>
        <v>0.52675798616384784</v>
      </c>
      <c r="ET126" s="402">
        <f t="shared" si="67"/>
        <v>253.43359761584483</v>
      </c>
      <c r="EV126" s="34"/>
      <c r="EW126" s="34"/>
      <c r="EX126" s="34"/>
      <c r="EY126" s="34"/>
      <c r="EZ126" s="378"/>
      <c r="FA126" s="401"/>
      <c r="FB126" s="402"/>
      <c r="FC126" s="402"/>
    </row>
    <row r="127" spans="32:159">
      <c r="AP127" t="s">
        <v>15</v>
      </c>
      <c r="AQ127" t="s">
        <v>92</v>
      </c>
      <c r="AR127" s="75">
        <v>20670.0766</v>
      </c>
      <c r="AS127" s="277">
        <f t="shared" si="63"/>
        <v>9.5999901070773372E-2</v>
      </c>
      <c r="EC127" s="412" t="s">
        <v>578</v>
      </c>
      <c r="ED127" s="412" t="s">
        <v>579</v>
      </c>
      <c r="EE127" s="412">
        <v>17191.4817</v>
      </c>
      <c r="EF127" s="412">
        <v>0.33368246308233862</v>
      </c>
      <c r="EG127" s="413">
        <v>859034</v>
      </c>
      <c r="EH127" s="414">
        <f t="shared" si="55"/>
        <v>326.39680921917153</v>
      </c>
      <c r="EI127" s="415">
        <f t="shared" si="56"/>
        <v>1.2982354552680675</v>
      </c>
      <c r="EJ127" s="402">
        <v>0</v>
      </c>
      <c r="EM127" s="278" t="s">
        <v>578</v>
      </c>
      <c r="EN127" s="278" t="s">
        <v>579</v>
      </c>
      <c r="EO127" s="278">
        <v>17191.4817</v>
      </c>
      <c r="EP127" s="278">
        <v>0.33368246308233862</v>
      </c>
      <c r="EQ127" s="289">
        <v>859034</v>
      </c>
      <c r="ER127" s="290">
        <f t="shared" si="37"/>
        <v>326.39680921917153</v>
      </c>
      <c r="ES127" s="291">
        <f t="shared" si="38"/>
        <v>1.2982354552680675</v>
      </c>
      <c r="ET127" s="402">
        <v>0</v>
      </c>
      <c r="EV127" s="34"/>
      <c r="EW127" s="34"/>
      <c r="EX127" s="34"/>
      <c r="EY127" s="34"/>
      <c r="EZ127" s="378"/>
      <c r="FA127" s="401"/>
      <c r="FB127" s="402"/>
      <c r="FC127" s="402"/>
    </row>
    <row r="128" spans="32:159">
      <c r="AP128" t="s">
        <v>15</v>
      </c>
      <c r="AQ128" t="s">
        <v>93</v>
      </c>
      <c r="AR128" s="75">
        <v>6590.8657999999996</v>
      </c>
      <c r="AS128" s="277">
        <f t="shared" si="63"/>
        <v>3.061055249165083E-2</v>
      </c>
      <c r="EC128" s="412" t="s">
        <v>578</v>
      </c>
      <c r="ED128" s="412" t="s">
        <v>580</v>
      </c>
      <c r="EE128" s="412">
        <v>22736.497299999999</v>
      </c>
      <c r="EF128" s="412">
        <v>0.44130986225166047</v>
      </c>
      <c r="EG128" s="413">
        <v>859035</v>
      </c>
      <c r="EH128" s="414">
        <f t="shared" si="55"/>
        <v>431.67426176769322</v>
      </c>
      <c r="EI128" s="415">
        <f t="shared" si="56"/>
        <v>1.7169739897094902</v>
      </c>
      <c r="EJ128" s="402">
        <v>0</v>
      </c>
      <c r="EM128" s="278" t="s">
        <v>578</v>
      </c>
      <c r="EN128" s="278" t="s">
        <v>580</v>
      </c>
      <c r="EO128" s="278">
        <v>22736.497299999999</v>
      </c>
      <c r="EP128" s="278">
        <v>0.44130986225166047</v>
      </c>
      <c r="EQ128" s="289">
        <v>859035</v>
      </c>
      <c r="ER128" s="290">
        <f t="shared" si="37"/>
        <v>431.67426176769322</v>
      </c>
      <c r="ES128" s="291">
        <f t="shared" si="38"/>
        <v>1.7169739897094902</v>
      </c>
      <c r="ET128" s="402">
        <v>0</v>
      </c>
      <c r="EV128" s="34"/>
      <c r="EW128" s="34"/>
      <c r="EX128" s="34"/>
      <c r="EY128" s="34"/>
      <c r="EZ128" s="378"/>
      <c r="FA128" s="401"/>
      <c r="FB128" s="402"/>
      <c r="FC128" s="402"/>
    </row>
    <row r="129" spans="42:159">
      <c r="AP129" t="s">
        <v>15</v>
      </c>
      <c r="AQ129" t="s">
        <v>94</v>
      </c>
      <c r="AR129" s="75">
        <v>3970.3760000000002</v>
      </c>
      <c r="AS129" s="277">
        <f t="shared" si="63"/>
        <v>1.843997536098985E-2</v>
      </c>
      <c r="EC129" s="412" t="s">
        <v>578</v>
      </c>
      <c r="ED129" s="412" t="s">
        <v>581</v>
      </c>
      <c r="EE129" s="412">
        <v>11592.5041</v>
      </c>
      <c r="EF129" s="412">
        <v>0.22500767466600097</v>
      </c>
      <c r="EG129" s="413">
        <v>859036</v>
      </c>
      <c r="EH129" s="414">
        <f t="shared" si="55"/>
        <v>220.09483621764628</v>
      </c>
      <c r="EI129" s="415">
        <f t="shared" si="56"/>
        <v>0.87542191537570846</v>
      </c>
      <c r="EJ129" s="402">
        <v>0</v>
      </c>
      <c r="EM129" s="278" t="s">
        <v>578</v>
      </c>
      <c r="EN129" s="278" t="s">
        <v>581</v>
      </c>
      <c r="EO129" s="278">
        <v>11592.5041</v>
      </c>
      <c r="EP129" s="278">
        <v>0.22500767466600097</v>
      </c>
      <c r="EQ129" s="289">
        <v>859036</v>
      </c>
      <c r="ER129" s="290">
        <f t="shared" si="37"/>
        <v>220.09483621764628</v>
      </c>
      <c r="ES129" s="291">
        <f t="shared" si="38"/>
        <v>0.87542191537570846</v>
      </c>
      <c r="ET129" s="402">
        <v>0</v>
      </c>
      <c r="EV129" s="34"/>
      <c r="EW129" s="34"/>
      <c r="EX129" s="34"/>
      <c r="EY129" s="34"/>
      <c r="EZ129" s="378"/>
      <c r="FA129" s="401"/>
      <c r="FB129" s="402"/>
      <c r="FC129" s="402"/>
    </row>
    <row r="130" spans="42:159">
      <c r="AP130" t="s">
        <v>15</v>
      </c>
      <c r="AQ130" t="s">
        <v>95</v>
      </c>
      <c r="AR130" s="75">
        <v>14487.1335</v>
      </c>
      <c r="AS130" s="277">
        <f t="shared" si="63"/>
        <v>6.7283900766922491E-2</v>
      </c>
      <c r="EC130" s="412" t="s">
        <v>24</v>
      </c>
      <c r="ED130" s="412" t="s">
        <v>582</v>
      </c>
      <c r="EE130" s="412">
        <v>11518.725399999999</v>
      </c>
      <c r="EF130" s="412">
        <v>0.5685947059337656</v>
      </c>
      <c r="EG130" s="413">
        <v>859037</v>
      </c>
      <c r="EH130" s="414">
        <f t="shared" si="55"/>
        <v>176.08599314865634</v>
      </c>
      <c r="EI130" s="415">
        <f t="shared" si="56"/>
        <v>0.70037780096120028</v>
      </c>
      <c r="EJ130" s="402">
        <v>0</v>
      </c>
      <c r="EM130" s="278" t="s">
        <v>24</v>
      </c>
      <c r="EN130" s="278" t="s">
        <v>582</v>
      </c>
      <c r="EO130" s="278">
        <v>11518.725399999999</v>
      </c>
      <c r="EP130" s="278">
        <v>0.5685947059337656</v>
      </c>
      <c r="EQ130" s="289">
        <v>859037</v>
      </c>
      <c r="ER130" s="290">
        <f t="shared" si="37"/>
        <v>176.08599314865634</v>
      </c>
      <c r="ES130" s="291">
        <f t="shared" si="38"/>
        <v>0.70037780096120028</v>
      </c>
      <c r="ET130" s="402">
        <v>0</v>
      </c>
      <c r="EV130" s="34"/>
      <c r="EW130" s="34"/>
      <c r="EX130" s="34"/>
      <c r="EY130" s="34"/>
      <c r="EZ130" s="378"/>
      <c r="FA130" s="401"/>
      <c r="FB130" s="402"/>
      <c r="FC130" s="402"/>
    </row>
    <row r="131" spans="42:159">
      <c r="AP131" t="s">
        <v>15</v>
      </c>
      <c r="AQ131" t="s">
        <v>96</v>
      </c>
      <c r="AR131" s="75">
        <v>7440.5132000000003</v>
      </c>
      <c r="AS131" s="277">
        <f t="shared" si="63"/>
        <v>3.4556646544589169E-2</v>
      </c>
      <c r="EC131" s="412" t="s">
        <v>24</v>
      </c>
      <c r="ED131" s="412" t="s">
        <v>583</v>
      </c>
      <c r="EE131" s="412">
        <v>8739.51</v>
      </c>
      <c r="EF131" s="412">
        <v>0.43140529406623446</v>
      </c>
      <c r="EG131" s="413">
        <v>859038</v>
      </c>
      <c r="EH131" s="414">
        <f t="shared" si="55"/>
        <v>133.60031119264409</v>
      </c>
      <c r="EI131" s="415">
        <f t="shared" si="56"/>
        <v>0.53139202322493251</v>
      </c>
      <c r="EJ131" s="402">
        <v>0</v>
      </c>
      <c r="EM131" s="278" t="s">
        <v>24</v>
      </c>
      <c r="EN131" s="278" t="s">
        <v>583</v>
      </c>
      <c r="EO131" s="278">
        <v>8739.51</v>
      </c>
      <c r="EP131" s="278">
        <v>0.43140529406623446</v>
      </c>
      <c r="EQ131" s="289">
        <v>859038</v>
      </c>
      <c r="ER131" s="290">
        <f t="shared" si="37"/>
        <v>133.60031119264409</v>
      </c>
      <c r="ES131" s="291">
        <f t="shared" si="38"/>
        <v>0.53139202322493251</v>
      </c>
      <c r="ET131" s="402">
        <v>0</v>
      </c>
      <c r="EV131" s="34"/>
      <c r="EW131" s="34"/>
      <c r="EX131" s="34"/>
      <c r="EY131" s="34"/>
      <c r="EZ131" s="378"/>
      <c r="FA131" s="401"/>
      <c r="FB131" s="402"/>
      <c r="FC131" s="402"/>
    </row>
    <row r="132" spans="42:159">
      <c r="AP132" t="s">
        <v>15</v>
      </c>
      <c r="AQ132" t="s">
        <v>97</v>
      </c>
      <c r="AR132" s="75">
        <v>20150.029900000001</v>
      </c>
      <c r="AS132" s="277">
        <f t="shared" si="63"/>
        <v>9.3584601276858623E-2</v>
      </c>
      <c r="EC132" s="412" t="s">
        <v>481</v>
      </c>
      <c r="ED132" s="412" t="s">
        <v>584</v>
      </c>
      <c r="EE132" s="412">
        <v>2599.7966999999999</v>
      </c>
      <c r="EF132" s="412">
        <v>0.17076241811950377</v>
      </c>
      <c r="EG132" s="413">
        <v>859039</v>
      </c>
      <c r="EH132" s="414">
        <f t="shared" si="55"/>
        <v>16.674314457018959</v>
      </c>
      <c r="EI132" s="415">
        <f t="shared" si="56"/>
        <v>6.6321684553769994E-2</v>
      </c>
      <c r="EJ132" s="402">
        <v>0</v>
      </c>
      <c r="EM132" s="278" t="s">
        <v>481</v>
      </c>
      <c r="EN132" s="278" t="s">
        <v>584</v>
      </c>
      <c r="EO132" s="278">
        <v>2599.7966999999999</v>
      </c>
      <c r="EP132" s="278">
        <v>0.17076241811950377</v>
      </c>
      <c r="EQ132" s="289">
        <v>859039</v>
      </c>
      <c r="ER132" s="290">
        <f t="shared" si="37"/>
        <v>16.674314457018959</v>
      </c>
      <c r="ES132" s="291">
        <f t="shared" si="38"/>
        <v>6.6321684553769994E-2</v>
      </c>
      <c r="ET132" s="402">
        <v>0</v>
      </c>
      <c r="EV132" s="34"/>
      <c r="EW132" s="34"/>
      <c r="EX132" s="34"/>
      <c r="EY132" s="34"/>
      <c r="EZ132" s="378"/>
      <c r="FA132" s="401"/>
      <c r="FB132" s="402"/>
      <c r="FC132" s="402"/>
    </row>
    <row r="133" spans="42:159">
      <c r="AP133" t="s">
        <v>15</v>
      </c>
      <c r="AQ133" t="s">
        <v>98</v>
      </c>
      <c r="AR133" s="75">
        <v>8631.4781000000003</v>
      </c>
      <c r="AS133" s="277">
        <f t="shared" si="63"/>
        <v>4.0087952247576428E-2</v>
      </c>
      <c r="EC133" s="412" t="s">
        <v>481</v>
      </c>
      <c r="ED133" s="412" t="s">
        <v>393</v>
      </c>
      <c r="EE133" s="412">
        <v>1032.4983</v>
      </c>
      <c r="EF133" s="412">
        <v>6.7817574509682552E-2</v>
      </c>
      <c r="EG133" s="413">
        <v>859040</v>
      </c>
      <c r="EH133" s="414">
        <f t="shared" si="55"/>
        <v>6.6221336962761335</v>
      </c>
      <c r="EI133" s="415">
        <f t="shared" si="56"/>
        <v>2.6339377442437618E-2</v>
      </c>
      <c r="EJ133" s="402">
        <v>0</v>
      </c>
      <c r="EM133" s="278" t="s">
        <v>481</v>
      </c>
      <c r="EN133" s="278" t="s">
        <v>393</v>
      </c>
      <c r="EO133" s="278">
        <v>1032.4983</v>
      </c>
      <c r="EP133" s="278">
        <v>6.7817574509682552E-2</v>
      </c>
      <c r="EQ133" s="289">
        <v>859040</v>
      </c>
      <c r="ER133" s="290">
        <f t="shared" si="37"/>
        <v>6.6221336962761335</v>
      </c>
      <c r="ES133" s="291">
        <f t="shared" si="38"/>
        <v>2.6339377442437618E-2</v>
      </c>
      <c r="ET133" s="402">
        <v>0</v>
      </c>
      <c r="EV133" s="34"/>
      <c r="EW133" s="34"/>
      <c r="EX133" s="34"/>
      <c r="EY133" s="34"/>
      <c r="EZ133" s="378"/>
      <c r="FA133" s="401"/>
      <c r="FB133" s="402"/>
      <c r="FC133" s="402"/>
    </row>
    <row r="134" spans="42:159">
      <c r="AP134" t="s">
        <v>15</v>
      </c>
      <c r="AQ134" t="s">
        <v>99</v>
      </c>
      <c r="AR134" s="75">
        <v>11977.777099999999</v>
      </c>
      <c r="AS134" s="277">
        <f t="shared" si="63"/>
        <v>5.56294705094501E-2</v>
      </c>
      <c r="EC134" s="412" t="s">
        <v>481</v>
      </c>
      <c r="ED134" s="412" t="s">
        <v>130</v>
      </c>
      <c r="EE134" s="412">
        <v>1625.5998999999999</v>
      </c>
      <c r="EF134" s="412">
        <v>0.10677426039460067</v>
      </c>
      <c r="EG134" s="413">
        <v>859041</v>
      </c>
      <c r="EH134" s="414">
        <f t="shared" si="55"/>
        <v>10.42610905456514</v>
      </c>
      <c r="EI134" s="415">
        <f t="shared" si="56"/>
        <v>4.1469597902959121E-2</v>
      </c>
      <c r="EJ134" s="402">
        <v>0</v>
      </c>
      <c r="EM134" s="278" t="s">
        <v>481</v>
      </c>
      <c r="EN134" s="278" t="s">
        <v>130</v>
      </c>
      <c r="EO134" s="278">
        <v>1625.5998999999999</v>
      </c>
      <c r="EP134" s="278">
        <v>0.10677426039460067</v>
      </c>
      <c r="EQ134" s="289">
        <v>859041</v>
      </c>
      <c r="ER134" s="290">
        <f t="shared" si="37"/>
        <v>10.42610905456514</v>
      </c>
      <c r="ES134" s="291">
        <f t="shared" si="38"/>
        <v>4.1469597902959121E-2</v>
      </c>
      <c r="ET134" s="402">
        <v>0</v>
      </c>
      <c r="EV134" s="34"/>
      <c r="EW134" s="34"/>
      <c r="EX134" s="34"/>
      <c r="EY134" s="34"/>
      <c r="EZ134" s="378"/>
      <c r="FA134" s="401"/>
      <c r="FB134" s="402"/>
      <c r="FC134" s="402"/>
    </row>
    <row r="135" spans="42:159">
      <c r="AP135" t="s">
        <v>15</v>
      </c>
      <c r="AQ135" t="s">
        <v>100</v>
      </c>
      <c r="AR135" s="75">
        <v>5754.1068999999998</v>
      </c>
      <c r="AS135" s="277">
        <f t="shared" si="63"/>
        <v>2.672431766172818E-2</v>
      </c>
      <c r="EC135" s="412" t="s">
        <v>481</v>
      </c>
      <c r="ED135" s="412" t="s">
        <v>131</v>
      </c>
      <c r="EE135" s="412">
        <v>2880.0880999999999</v>
      </c>
      <c r="EF135" s="412">
        <v>0.18917279507017112</v>
      </c>
      <c r="EG135" s="413">
        <v>859042</v>
      </c>
      <c r="EH135" s="414">
        <f t="shared" si="55"/>
        <v>18.472019232626252</v>
      </c>
      <c r="EI135" s="415">
        <f t="shared" si="56"/>
        <v>7.3472012044352067E-2</v>
      </c>
      <c r="EJ135" s="402">
        <v>0</v>
      </c>
      <c r="EM135" s="278" t="s">
        <v>481</v>
      </c>
      <c r="EN135" s="278" t="s">
        <v>131</v>
      </c>
      <c r="EO135" s="278">
        <v>2880.0880999999999</v>
      </c>
      <c r="EP135" s="278">
        <v>0.18917279507017112</v>
      </c>
      <c r="EQ135" s="289">
        <v>859042</v>
      </c>
      <c r="ER135" s="290">
        <f t="shared" si="37"/>
        <v>18.472019232626252</v>
      </c>
      <c r="ES135" s="291">
        <f t="shared" si="38"/>
        <v>7.3472012044352067E-2</v>
      </c>
      <c r="ET135" s="402">
        <v>0</v>
      </c>
      <c r="EV135" s="34"/>
      <c r="EW135" s="34"/>
      <c r="EX135" s="34"/>
      <c r="EY135" s="34"/>
      <c r="EZ135" s="378"/>
      <c r="FA135" s="401"/>
      <c r="FB135" s="402"/>
      <c r="FC135" s="402"/>
    </row>
    <row r="136" spans="42:159">
      <c r="AP136" t="s">
        <v>15</v>
      </c>
      <c r="AQ136" t="s">
        <v>101</v>
      </c>
      <c r="AR136" s="75">
        <v>6005.2467999999999</v>
      </c>
      <c r="AS136" s="277">
        <f t="shared" si="63"/>
        <v>2.7890709350616452E-2</v>
      </c>
      <c r="EC136" s="412" t="s">
        <v>481</v>
      </c>
      <c r="ED136" s="412" t="s">
        <v>132</v>
      </c>
      <c r="EE136" s="412">
        <v>687.99680000000001</v>
      </c>
      <c r="EF136" s="412">
        <v>4.5189686265268592E-2</v>
      </c>
      <c r="EG136" s="413">
        <v>859043</v>
      </c>
      <c r="EH136" s="414">
        <f t="shared" si="55"/>
        <v>4.412604642748712</v>
      </c>
      <c r="EI136" s="415">
        <f t="shared" si="56"/>
        <v>1.7551028795291256E-2</v>
      </c>
      <c r="EJ136" s="402">
        <v>0</v>
      </c>
      <c r="EM136" s="278" t="s">
        <v>481</v>
      </c>
      <c r="EN136" s="278" t="s">
        <v>132</v>
      </c>
      <c r="EO136" s="278">
        <v>687.99680000000001</v>
      </c>
      <c r="EP136" s="278">
        <v>4.5189686265268592E-2</v>
      </c>
      <c r="EQ136" s="289">
        <v>859043</v>
      </c>
      <c r="ER136" s="290">
        <f t="shared" si="37"/>
        <v>4.412604642748712</v>
      </c>
      <c r="ES136" s="291">
        <f t="shared" si="38"/>
        <v>1.7551028795291256E-2</v>
      </c>
      <c r="ET136" s="402">
        <v>0</v>
      </c>
      <c r="EV136" s="34"/>
      <c r="EW136" s="34"/>
      <c r="EX136" s="34"/>
      <c r="EY136" s="34"/>
      <c r="EZ136" s="378"/>
      <c r="FA136" s="401"/>
      <c r="FB136" s="402"/>
      <c r="FC136" s="402"/>
    </row>
    <row r="137" spans="42:159">
      <c r="AP137" t="s">
        <v>16</v>
      </c>
      <c r="AQ137" t="s">
        <v>113</v>
      </c>
      <c r="AR137" s="75">
        <v>10596.0813</v>
      </c>
      <c r="AS137" s="277">
        <f t="shared" si="63"/>
        <v>0.3566329663552395</v>
      </c>
      <c r="EC137" s="412" t="s">
        <v>481</v>
      </c>
      <c r="ED137" s="412" t="s">
        <v>133</v>
      </c>
      <c r="EE137" s="412">
        <v>2308.0711000000001</v>
      </c>
      <c r="EF137" s="412">
        <v>0.15160100873569959</v>
      </c>
      <c r="EG137" s="413">
        <v>859044</v>
      </c>
      <c r="EH137" s="414">
        <f t="shared" si="55"/>
        <v>14.803274160074766</v>
      </c>
      <c r="EI137" s="415">
        <f t="shared" si="56"/>
        <v>5.887966679158909E-2</v>
      </c>
      <c r="EJ137" s="402">
        <v>0</v>
      </c>
      <c r="EM137" s="278" t="s">
        <v>481</v>
      </c>
      <c r="EN137" s="278" t="s">
        <v>133</v>
      </c>
      <c r="EO137" s="278">
        <v>2308.0711000000001</v>
      </c>
      <c r="EP137" s="278">
        <v>0.15160100873569959</v>
      </c>
      <c r="EQ137" s="289">
        <v>859044</v>
      </c>
      <c r="ER137" s="290">
        <f t="shared" si="37"/>
        <v>14.803274160074766</v>
      </c>
      <c r="ES137" s="291">
        <f t="shared" si="38"/>
        <v>5.887966679158909E-2</v>
      </c>
      <c r="ET137" s="402">
        <v>0</v>
      </c>
      <c r="EV137" s="34"/>
      <c r="EW137" s="34"/>
      <c r="EX137" s="34"/>
      <c r="EY137" s="34"/>
      <c r="EZ137" s="378"/>
      <c r="FA137" s="401"/>
      <c r="FB137" s="402"/>
      <c r="FC137" s="402"/>
    </row>
    <row r="138" spans="42:159" ht="17.5" thickBot="1">
      <c r="AP138" t="s">
        <v>16</v>
      </c>
      <c r="AQ138" t="s">
        <v>114</v>
      </c>
      <c r="AR138" s="75">
        <v>10127.7948</v>
      </c>
      <c r="AS138" s="277">
        <f t="shared" si="63"/>
        <v>0.34087181854306553</v>
      </c>
      <c r="EC138" s="412" t="s">
        <v>481</v>
      </c>
      <c r="ED138" s="412" t="s">
        <v>134</v>
      </c>
      <c r="EE138" s="412">
        <v>4090.5911999999998</v>
      </c>
      <c r="EF138" s="412">
        <v>0.26868225690507364</v>
      </c>
      <c r="EG138" s="416">
        <v>859045</v>
      </c>
      <c r="EH138" s="414">
        <f t="shared" si="55"/>
        <v>26.235822202526268</v>
      </c>
      <c r="EI138" s="415">
        <f t="shared" si="56"/>
        <v>0.10435235155303776</v>
      </c>
      <c r="EJ138" s="402">
        <v>0</v>
      </c>
      <c r="EM138" s="278" t="s">
        <v>481</v>
      </c>
      <c r="EN138" s="278" t="s">
        <v>134</v>
      </c>
      <c r="EO138" s="278">
        <v>4090.5911999999998</v>
      </c>
      <c r="EP138" s="278">
        <v>0.26868225690507364</v>
      </c>
      <c r="EQ138" s="292">
        <v>859045</v>
      </c>
      <c r="ER138" s="290">
        <f t="shared" si="37"/>
        <v>26.235822202526268</v>
      </c>
      <c r="ES138" s="291">
        <f t="shared" si="38"/>
        <v>0.10435235155303776</v>
      </c>
      <c r="ET138" s="402">
        <v>0</v>
      </c>
      <c r="EV138" s="34"/>
      <c r="EW138" s="34"/>
      <c r="EX138" s="34"/>
      <c r="EY138" s="34"/>
      <c r="EZ138" s="378"/>
      <c r="FA138" s="401"/>
      <c r="FB138" s="402"/>
      <c r="FC138" s="402"/>
    </row>
    <row r="139" spans="42:159">
      <c r="AP139" t="s">
        <v>16</v>
      </c>
      <c r="AQ139" t="s">
        <v>115</v>
      </c>
      <c r="AR139" s="75">
        <v>8987.5704000000005</v>
      </c>
      <c r="AS139" s="277">
        <f t="shared" si="63"/>
        <v>0.30249521510169491</v>
      </c>
      <c r="EG139" s="230">
        <f>ABS(SUM(EQ94:EQ138))</f>
        <v>38656035</v>
      </c>
      <c r="EH139" s="230">
        <f>SUM(EH94:EH138)</f>
        <v>11652.834249146714</v>
      </c>
      <c r="EI139" s="230">
        <f>SUM(EI94:EI138)</f>
        <v>46.34886784829434</v>
      </c>
      <c r="EJ139" s="230">
        <f>SUM(EJ94:EJ138)</f>
        <v>1458.1131685023972</v>
      </c>
      <c r="EQ139" s="230"/>
      <c r="ER139" s="230">
        <f>SUM(ER94:ER138)</f>
        <v>11652.834249146714</v>
      </c>
      <c r="ES139" s="230">
        <f>SUM(ES94:ES138)</f>
        <v>46.34886784829434</v>
      </c>
      <c r="ET139" s="230">
        <f>SUM(ET94:ET138)</f>
        <v>1457.9424508320519</v>
      </c>
      <c r="FA139" s="230"/>
      <c r="FB139" s="230"/>
    </row>
    <row r="140" spans="42:159">
      <c r="AP140" t="s">
        <v>141</v>
      </c>
      <c r="AQ140" t="s">
        <v>102</v>
      </c>
      <c r="AR140" s="75">
        <v>2607.4872</v>
      </c>
      <c r="AS140" s="277">
        <f t="shared" si="63"/>
        <v>3.7361234000204045E-2</v>
      </c>
      <c r="EH140" s="230">
        <f t="shared" ref="EH140:EI140" si="68">EH139</f>
        <v>11652.834249146714</v>
      </c>
      <c r="EI140" s="230">
        <f t="shared" si="68"/>
        <v>46.34886784829434</v>
      </c>
      <c r="EJ140" s="230">
        <f>EJ139</f>
        <v>1458.1131685023972</v>
      </c>
    </row>
    <row r="141" spans="42:159">
      <c r="AP141" t="s">
        <v>141</v>
      </c>
      <c r="AQ141" t="s">
        <v>103</v>
      </c>
      <c r="AR141" s="75">
        <v>15824.4439</v>
      </c>
      <c r="AS141" s="277">
        <f t="shared" si="63"/>
        <v>0.22673965627559034</v>
      </c>
      <c r="EH141" s="230" t="s">
        <v>603</v>
      </c>
    </row>
    <row r="142" spans="42:159">
      <c r="AP142" t="s">
        <v>141</v>
      </c>
      <c r="AQ142" t="s">
        <v>104</v>
      </c>
      <c r="AR142" s="75">
        <v>11511.7454</v>
      </c>
      <c r="AS142" s="277">
        <f t="shared" si="63"/>
        <v>0.16494539786817458</v>
      </c>
    </row>
    <row r="143" spans="42:159">
      <c r="AP143" t="s">
        <v>141</v>
      </c>
      <c r="AQ143" t="s">
        <v>117</v>
      </c>
      <c r="AR143" s="75">
        <v>4659.9287999999997</v>
      </c>
      <c r="AS143" s="277">
        <f t="shared" si="63"/>
        <v>6.6769528272694875E-2</v>
      </c>
    </row>
    <row r="144" spans="42:159">
      <c r="AP144" t="s">
        <v>141</v>
      </c>
      <c r="AQ144" t="s">
        <v>118</v>
      </c>
      <c r="AR144" s="75">
        <v>23055.857</v>
      </c>
      <c r="AS144" s="277">
        <f t="shared" si="63"/>
        <v>0.33035455301649896</v>
      </c>
    </row>
    <row r="145" spans="42:45">
      <c r="AP145" t="s">
        <v>141</v>
      </c>
      <c r="AQ145" t="s">
        <v>119</v>
      </c>
      <c r="AR145" s="75">
        <v>12131.7871</v>
      </c>
      <c r="AS145" s="277">
        <f t="shared" si="63"/>
        <v>0.17382963056683723</v>
      </c>
    </row>
    <row r="146" spans="42:45">
      <c r="AP146" t="s">
        <v>143</v>
      </c>
      <c r="AQ146" t="s">
        <v>105</v>
      </c>
      <c r="AR146" s="75">
        <v>17191.4817</v>
      </c>
      <c r="AS146" s="277">
        <f t="shared" si="63"/>
        <v>0.33368246308233862</v>
      </c>
    </row>
    <row r="147" spans="42:45">
      <c r="AP147" t="s">
        <v>143</v>
      </c>
      <c r="AQ147" t="s">
        <v>106</v>
      </c>
      <c r="AR147" s="75">
        <v>22736.497299999999</v>
      </c>
      <c r="AS147" s="277">
        <f t="shared" si="63"/>
        <v>0.44130986225166047</v>
      </c>
    </row>
    <row r="148" spans="42:45">
      <c r="AP148" t="s">
        <v>143</v>
      </c>
      <c r="AQ148" t="s">
        <v>123</v>
      </c>
      <c r="AR148" s="75">
        <v>11592.5041</v>
      </c>
      <c r="AS148" s="277">
        <f t="shared" si="63"/>
        <v>0.22500767466600097</v>
      </c>
    </row>
    <row r="149" spans="42:45">
      <c r="AP149" t="s">
        <v>144</v>
      </c>
      <c r="AQ149" t="s">
        <v>125</v>
      </c>
      <c r="AR149" s="75">
        <v>11518.725399999999</v>
      </c>
      <c r="AS149" s="277">
        <f t="shared" si="63"/>
        <v>0.5685947059337656</v>
      </c>
    </row>
    <row r="150" spans="42:45">
      <c r="AP150" t="s">
        <v>24</v>
      </c>
      <c r="AQ150" t="s">
        <v>126</v>
      </c>
      <c r="AR150" s="75">
        <v>8739.51</v>
      </c>
      <c r="AS150" s="277">
        <f t="shared" si="63"/>
        <v>0.43140529406623446</v>
      </c>
    </row>
    <row r="151" spans="42:45">
      <c r="AP151" t="s">
        <v>146</v>
      </c>
      <c r="AQ151" t="s">
        <v>127</v>
      </c>
      <c r="AR151" s="75">
        <v>2599.7966999999999</v>
      </c>
      <c r="AS151" s="277">
        <f t="shared" si="63"/>
        <v>0.17076241811950377</v>
      </c>
    </row>
    <row r="152" spans="42:45">
      <c r="AP152" t="s">
        <v>146</v>
      </c>
      <c r="AQ152" t="s">
        <v>128</v>
      </c>
      <c r="AR152" s="75">
        <v>1032.4983</v>
      </c>
      <c r="AS152" s="277">
        <f t="shared" si="63"/>
        <v>6.7817574509682552E-2</v>
      </c>
    </row>
    <row r="153" spans="42:45">
      <c r="AP153" t="s">
        <v>146</v>
      </c>
      <c r="AQ153" t="s">
        <v>130</v>
      </c>
      <c r="AR153" s="75">
        <v>1625.5998999999999</v>
      </c>
      <c r="AS153" s="277">
        <f t="shared" si="63"/>
        <v>0.10677426039460067</v>
      </c>
    </row>
    <row r="154" spans="42:45">
      <c r="AP154" t="s">
        <v>146</v>
      </c>
      <c r="AQ154" t="s">
        <v>131</v>
      </c>
      <c r="AR154" s="75">
        <v>2880.0880999999999</v>
      </c>
      <c r="AS154" s="277">
        <f t="shared" si="63"/>
        <v>0.18917279507017112</v>
      </c>
    </row>
    <row r="155" spans="42:45">
      <c r="AP155" t="s">
        <v>146</v>
      </c>
      <c r="AQ155" t="s">
        <v>132</v>
      </c>
      <c r="AR155" s="75">
        <v>687.99680000000001</v>
      </c>
      <c r="AS155" s="277">
        <f t="shared" si="63"/>
        <v>4.5189686265268592E-2</v>
      </c>
    </row>
    <row r="156" spans="42:45">
      <c r="AP156" t="s">
        <v>146</v>
      </c>
      <c r="AQ156" t="s">
        <v>133</v>
      </c>
      <c r="AR156" s="75">
        <v>2308.0711000000001</v>
      </c>
      <c r="AS156" s="277">
        <f t="shared" si="63"/>
        <v>0.15160100873569959</v>
      </c>
    </row>
    <row r="157" spans="42:45">
      <c r="AP157" t="s">
        <v>146</v>
      </c>
      <c r="AQ157" t="s">
        <v>134</v>
      </c>
      <c r="AR157" s="75">
        <v>4090.5911999999998</v>
      </c>
      <c r="AS157" s="277">
        <f t="shared" si="63"/>
        <v>0.26868225690507364</v>
      </c>
    </row>
    <row r="158" spans="42:45">
      <c r="AS158" s="277"/>
    </row>
    <row r="159" spans="42:45">
      <c r="AS159" s="277"/>
    </row>
    <row r="160" spans="42:45">
      <c r="AS160" s="277"/>
    </row>
    <row r="161" spans="1:48">
      <c r="AS161" s="277"/>
    </row>
    <row r="162" spans="1:48">
      <c r="AS162" s="277"/>
    </row>
    <row r="163" spans="1:48" ht="20.5">
      <c r="E163" s="364" t="s">
        <v>826</v>
      </c>
      <c r="AS163" s="277"/>
    </row>
    <row r="164" spans="1:48">
      <c r="C164" t="s">
        <v>775</v>
      </c>
      <c r="E164" s="98"/>
      <c r="F164" s="98"/>
      <c r="G164" s="98" t="s">
        <v>764</v>
      </c>
      <c r="H164" s="306" t="s">
        <v>765</v>
      </c>
      <c r="I164" s="363" t="s">
        <v>766</v>
      </c>
      <c r="J164" s="98" t="s">
        <v>767</v>
      </c>
      <c r="K164" s="98" t="s">
        <v>768</v>
      </c>
      <c r="L164" s="98" t="s">
        <v>782</v>
      </c>
      <c r="M164" s="435" t="s">
        <v>783</v>
      </c>
      <c r="N164" s="98" t="s">
        <v>784</v>
      </c>
      <c r="O164" s="98" t="s">
        <v>785</v>
      </c>
      <c r="P164" s="98" t="s">
        <v>786</v>
      </c>
      <c r="Q164" s="98" t="s">
        <v>787</v>
      </c>
      <c r="R164" s="435" t="s">
        <v>788</v>
      </c>
      <c r="S164" s="98" t="s">
        <v>789</v>
      </c>
      <c r="T164" s="98" t="s">
        <v>790</v>
      </c>
      <c r="U164" s="98" t="s">
        <v>791</v>
      </c>
      <c r="V164" s="98" t="s">
        <v>792</v>
      </c>
      <c r="W164" s="98" t="s">
        <v>793</v>
      </c>
      <c r="X164" s="98" t="s">
        <v>794</v>
      </c>
      <c r="Y164" s="98" t="s">
        <v>795</v>
      </c>
      <c r="Z164" s="98" t="s">
        <v>796</v>
      </c>
      <c r="AA164" s="98" t="s">
        <v>797</v>
      </c>
      <c r="AB164" s="98" t="s">
        <v>798</v>
      </c>
      <c r="AC164" s="98" t="s">
        <v>799</v>
      </c>
      <c r="AD164" s="98" t="s">
        <v>800</v>
      </c>
      <c r="AE164" s="98" t="s">
        <v>801</v>
      </c>
      <c r="AF164" s="98" t="s">
        <v>802</v>
      </c>
      <c r="AG164" s="98" t="s">
        <v>803</v>
      </c>
      <c r="AH164" s="98" t="s">
        <v>804</v>
      </c>
      <c r="AI164" s="98" t="s">
        <v>805</v>
      </c>
      <c r="AJ164" s="98" t="s">
        <v>806</v>
      </c>
      <c r="AK164" s="98" t="s">
        <v>807</v>
      </c>
      <c r="AL164" s="98" t="s">
        <v>808</v>
      </c>
      <c r="AM164" s="98" t="s">
        <v>809</v>
      </c>
      <c r="AN164" s="98" t="s">
        <v>810</v>
      </c>
      <c r="AO164" s="98" t="s">
        <v>811</v>
      </c>
      <c r="AP164" s="98" t="s">
        <v>812</v>
      </c>
      <c r="AQ164" s="98" t="s">
        <v>813</v>
      </c>
      <c r="AR164" s="98" t="s">
        <v>814</v>
      </c>
      <c r="AS164" s="98" t="s">
        <v>815</v>
      </c>
      <c r="AT164" s="98" t="s">
        <v>816</v>
      </c>
      <c r="AU164" s="98" t="s">
        <v>817</v>
      </c>
    </row>
    <row r="165" spans="1:48">
      <c r="C165">
        <v>2024</v>
      </c>
      <c r="E165" s="98"/>
      <c r="F165" s="98"/>
      <c r="G165" s="369">
        <v>0</v>
      </c>
      <c r="H165" s="370">
        <v>1</v>
      </c>
      <c r="I165" s="371">
        <v>2</v>
      </c>
      <c r="J165" s="369">
        <v>3</v>
      </c>
      <c r="K165" s="369">
        <v>4</v>
      </c>
      <c r="L165" s="369">
        <v>5</v>
      </c>
      <c r="M165" s="436">
        <v>6</v>
      </c>
      <c r="N165" s="369">
        <v>7</v>
      </c>
      <c r="O165" s="369">
        <v>8</v>
      </c>
      <c r="P165" s="369">
        <v>9</v>
      </c>
      <c r="Q165" s="369">
        <v>10</v>
      </c>
      <c r="R165" s="436">
        <v>11</v>
      </c>
      <c r="S165" s="369">
        <v>12</v>
      </c>
      <c r="T165" s="369">
        <v>13</v>
      </c>
      <c r="U165" s="369">
        <v>14</v>
      </c>
      <c r="V165" s="369">
        <v>15</v>
      </c>
      <c r="W165" s="369">
        <v>16</v>
      </c>
      <c r="X165" s="369">
        <v>17</v>
      </c>
      <c r="Y165" s="369">
        <v>18</v>
      </c>
      <c r="Z165" s="369">
        <v>19</v>
      </c>
      <c r="AA165" s="369">
        <v>20</v>
      </c>
      <c r="AB165" s="369">
        <v>21</v>
      </c>
      <c r="AC165" s="369">
        <v>22</v>
      </c>
      <c r="AD165" s="369">
        <v>23</v>
      </c>
      <c r="AE165" s="369">
        <v>24</v>
      </c>
      <c r="AF165" s="369">
        <v>25</v>
      </c>
      <c r="AG165" s="369">
        <v>26</v>
      </c>
      <c r="AH165" s="369">
        <v>27</v>
      </c>
      <c r="AI165" s="369">
        <v>28</v>
      </c>
      <c r="AJ165" s="369">
        <v>29</v>
      </c>
      <c r="AK165" s="369">
        <v>30</v>
      </c>
      <c r="AL165" s="369">
        <v>31</v>
      </c>
      <c r="AM165" s="369">
        <v>32</v>
      </c>
      <c r="AN165" s="369">
        <v>33</v>
      </c>
      <c r="AO165" s="369">
        <v>34</v>
      </c>
      <c r="AP165" s="369">
        <v>35</v>
      </c>
      <c r="AQ165" s="369">
        <v>36</v>
      </c>
      <c r="AR165" s="369">
        <v>37</v>
      </c>
      <c r="AS165" s="369">
        <v>38</v>
      </c>
      <c r="AT165" s="369">
        <v>39</v>
      </c>
      <c r="AU165" s="369">
        <v>40</v>
      </c>
    </row>
    <row r="166" spans="1:48">
      <c r="E166" s="98" t="s">
        <v>769</v>
      </c>
      <c r="F166" s="98"/>
      <c r="G166" s="365">
        <v>0</v>
      </c>
      <c r="H166" s="366">
        <v>0.1</v>
      </c>
      <c r="I166" s="372">
        <v>0.16669999999999999</v>
      </c>
      <c r="J166" s="365">
        <v>0.23330000000000001</v>
      </c>
      <c r="K166" s="365">
        <v>0.3</v>
      </c>
      <c r="L166" s="365">
        <v>0.36670000000000003</v>
      </c>
      <c r="M166" s="437">
        <v>0.43330000000000002</v>
      </c>
      <c r="N166" s="365">
        <v>0.5</v>
      </c>
      <c r="O166" s="365">
        <v>0.56669999999999998</v>
      </c>
      <c r="P166" s="365">
        <v>0.63329999999999997</v>
      </c>
      <c r="Q166" s="365">
        <v>0.7</v>
      </c>
      <c r="R166" s="437">
        <v>0.72</v>
      </c>
      <c r="S166" s="365">
        <v>0.74</v>
      </c>
      <c r="T166" s="365">
        <v>0.76</v>
      </c>
      <c r="U166" s="365">
        <v>0.78</v>
      </c>
      <c r="V166" s="365">
        <v>0.8</v>
      </c>
      <c r="W166" s="365">
        <v>0.82</v>
      </c>
      <c r="X166" s="365">
        <v>0.84</v>
      </c>
      <c r="Y166" s="365">
        <v>0.86</v>
      </c>
      <c r="Z166" s="365">
        <v>0.88</v>
      </c>
      <c r="AA166" s="365">
        <v>0.9</v>
      </c>
      <c r="AB166" s="365">
        <v>0.89500000000000002</v>
      </c>
      <c r="AC166" s="365">
        <v>0.89</v>
      </c>
      <c r="AD166" s="365">
        <v>0.88500000000000001</v>
      </c>
      <c r="AE166" s="365">
        <v>0.88</v>
      </c>
      <c r="AF166" s="365">
        <v>0.875</v>
      </c>
      <c r="AG166" s="365">
        <v>0.87</v>
      </c>
      <c r="AH166" s="365">
        <v>0.86499999999999999</v>
      </c>
      <c r="AI166" s="365">
        <v>0.86</v>
      </c>
      <c r="AJ166" s="365">
        <v>0.85499999999999998</v>
      </c>
      <c r="AK166" s="365">
        <v>0.85</v>
      </c>
      <c r="AL166" s="381">
        <f>$AK$166*(1+$AV$166*1)</f>
        <v>0.85212499999999991</v>
      </c>
      <c r="AM166" s="381">
        <f>$AK$166*(1+$AV$166*2)</f>
        <v>0.85424999999999984</v>
      </c>
      <c r="AN166" s="381">
        <f>$AK$166*(1+$AV$166*3)</f>
        <v>0.856375</v>
      </c>
      <c r="AO166" s="381">
        <f>$AK$166*(1+$AV$166*4)</f>
        <v>0.85849999999999993</v>
      </c>
      <c r="AP166" s="381">
        <f>$AK$166*(1+$AV$166*5)</f>
        <v>0.86062499999999997</v>
      </c>
      <c r="AQ166" s="381">
        <f>$AK$166*(1+$AV$166*6)</f>
        <v>0.86275000000000013</v>
      </c>
      <c r="AR166" s="381">
        <f>$AK$166*(1+$AV$166*7)</f>
        <v>0.86487500000000006</v>
      </c>
      <c r="AS166" s="381">
        <f>$AK$166*(1+$AV$166*8)</f>
        <v>0.86699999999999999</v>
      </c>
      <c r="AT166" s="381">
        <f>$AK$166*(1+$AV$166*9)</f>
        <v>0.86912499999999993</v>
      </c>
      <c r="AU166" s="365">
        <v>0.875</v>
      </c>
      <c r="AV166" s="355">
        <f>(AU166-AK166)/10</f>
        <v>2.5000000000000022E-3</v>
      </c>
    </row>
    <row r="168" spans="1:48">
      <c r="S168" t="s">
        <v>762</v>
      </c>
    </row>
    <row r="169" spans="1:48" ht="17.5" thickBot="1">
      <c r="S169" s="362" t="s">
        <v>761</v>
      </c>
    </row>
    <row r="170" spans="1:48" ht="25.5" thickTop="1">
      <c r="A170" t="s">
        <v>746</v>
      </c>
      <c r="S170" s="576" t="s">
        <v>748</v>
      </c>
      <c r="T170" s="577"/>
      <c r="U170" s="1" t="s">
        <v>749</v>
      </c>
      <c r="V170" s="1" t="s">
        <v>751</v>
      </c>
      <c r="W170" s="1" t="s">
        <v>753</v>
      </c>
      <c r="X170" s="602" t="s">
        <v>754</v>
      </c>
    </row>
    <row r="171" spans="1:48" ht="17.5" thickBot="1">
      <c r="S171" s="578"/>
      <c r="T171" s="579"/>
      <c r="U171" s="3" t="s">
        <v>750</v>
      </c>
      <c r="V171" s="3" t="s">
        <v>752</v>
      </c>
      <c r="W171" s="3" t="s">
        <v>752</v>
      </c>
      <c r="X171" s="603"/>
    </row>
    <row r="172" spans="1:48" ht="17.5" thickTop="1">
      <c r="S172" s="354" t="s">
        <v>50</v>
      </c>
      <c r="T172" s="6" t="s">
        <v>755</v>
      </c>
      <c r="U172" s="6">
        <v>1</v>
      </c>
      <c r="V172" s="356">
        <v>0.5</v>
      </c>
      <c r="W172" s="356">
        <v>0.5</v>
      </c>
      <c r="X172" s="357">
        <v>0.38</v>
      </c>
    </row>
    <row r="173" spans="1:48" ht="28.5">
      <c r="S173" s="604" t="s">
        <v>756</v>
      </c>
      <c r="T173" s="358" t="s">
        <v>757</v>
      </c>
      <c r="U173" s="606">
        <v>4.5</v>
      </c>
      <c r="V173" s="590">
        <v>0.5</v>
      </c>
      <c r="W173" s="590">
        <v>0.5</v>
      </c>
      <c r="X173" s="592">
        <v>0.20799999999999999</v>
      </c>
    </row>
    <row r="174" spans="1:48">
      <c r="S174" s="605"/>
      <c r="T174" s="359" t="s">
        <v>758</v>
      </c>
      <c r="U174" s="607"/>
      <c r="V174" s="591"/>
      <c r="W174" s="591"/>
      <c r="X174" s="593"/>
    </row>
    <row r="175" spans="1:48" ht="54" thickBot="1">
      <c r="A175" s="26" t="s">
        <v>48</v>
      </c>
      <c r="S175" s="24" t="s">
        <v>52</v>
      </c>
      <c r="T175" s="16" t="s">
        <v>759</v>
      </c>
      <c r="U175" s="16">
        <v>8</v>
      </c>
      <c r="V175" s="360">
        <v>0.5</v>
      </c>
      <c r="W175" s="360">
        <v>0.5</v>
      </c>
      <c r="X175" s="361">
        <v>0.41199999999999998</v>
      </c>
    </row>
    <row r="176" spans="1:48" ht="21.5" thickTop="1" thickBot="1">
      <c r="B176" s="25" t="s">
        <v>69</v>
      </c>
      <c r="K176" t="s">
        <v>747</v>
      </c>
      <c r="S176" s="362" t="s">
        <v>760</v>
      </c>
    </row>
    <row r="177" spans="2:36" ht="17.5" thickTop="1">
      <c r="B177" s="595" t="s">
        <v>49</v>
      </c>
      <c r="C177" s="587" t="s">
        <v>50</v>
      </c>
      <c r="D177" s="597"/>
      <c r="E177" s="587" t="s">
        <v>51</v>
      </c>
      <c r="F177" s="597"/>
      <c r="G177" s="587" t="s">
        <v>52</v>
      </c>
      <c r="H177" s="597"/>
      <c r="I177" s="587" t="s">
        <v>53</v>
      </c>
      <c r="J177" s="588"/>
      <c r="K177" s="589"/>
    </row>
    <row r="178" spans="2:36" ht="30.5" thickBot="1">
      <c r="B178" s="596"/>
      <c r="C178" s="27" t="s">
        <v>40</v>
      </c>
      <c r="D178" s="27" t="s">
        <v>41</v>
      </c>
      <c r="E178" s="27" t="s">
        <v>40</v>
      </c>
      <c r="F178" s="27" t="s">
        <v>41</v>
      </c>
      <c r="G178" s="27" t="s">
        <v>40</v>
      </c>
      <c r="H178" s="27" t="s">
        <v>41</v>
      </c>
      <c r="I178" s="27" t="s">
        <v>40</v>
      </c>
      <c r="J178" s="27" t="s">
        <v>41</v>
      </c>
      <c r="K178" s="28" t="s">
        <v>21</v>
      </c>
      <c r="L178" s="28" t="s">
        <v>21</v>
      </c>
      <c r="P178" s="397">
        <v>2025</v>
      </c>
      <c r="Q178" s="395"/>
      <c r="R178" s="395"/>
      <c r="S178" s="395"/>
      <c r="T178" s="395"/>
      <c r="U178" s="395"/>
      <c r="V178" s="395"/>
      <c r="W178" s="395"/>
      <c r="X178" s="395"/>
      <c r="Y178" s="395"/>
      <c r="Z178" s="395"/>
      <c r="AA178" s="395"/>
      <c r="AB178" s="395"/>
      <c r="AC178" s="395"/>
      <c r="AD178" s="395"/>
      <c r="AE178" s="395"/>
      <c r="AF178" s="395"/>
      <c r="AG178" s="395"/>
      <c r="AH178" s="395"/>
      <c r="AI178" s="395"/>
      <c r="AJ178" s="395"/>
    </row>
    <row r="179" spans="2:36" ht="24" thickTop="1" thickBot="1">
      <c r="B179" s="22" t="s">
        <v>54</v>
      </c>
      <c r="C179" s="6">
        <v>15</v>
      </c>
      <c r="D179" s="6">
        <v>15</v>
      </c>
      <c r="E179" s="6">
        <v>8</v>
      </c>
      <c r="F179" s="6">
        <v>8</v>
      </c>
      <c r="G179" s="6">
        <v>16</v>
      </c>
      <c r="H179" s="6">
        <v>16</v>
      </c>
      <c r="I179" s="6">
        <v>39</v>
      </c>
      <c r="J179" s="6">
        <v>39</v>
      </c>
      <c r="K179" s="7">
        <v>78</v>
      </c>
      <c r="L179" s="7">
        <v>78</v>
      </c>
      <c r="Q179" s="353" t="s">
        <v>822</v>
      </c>
      <c r="AB179" s="353" t="s">
        <v>824</v>
      </c>
    </row>
    <row r="180" spans="2:36" ht="32">
      <c r="B180" s="23" t="s">
        <v>55</v>
      </c>
      <c r="C180" s="9">
        <v>17</v>
      </c>
      <c r="D180" s="9">
        <v>17</v>
      </c>
      <c r="E180" s="9">
        <v>9</v>
      </c>
      <c r="F180" s="9">
        <v>9</v>
      </c>
      <c r="G180" s="9">
        <v>18</v>
      </c>
      <c r="H180" s="9">
        <v>18</v>
      </c>
      <c r="I180" s="9">
        <v>44</v>
      </c>
      <c r="J180" s="9">
        <v>44</v>
      </c>
      <c r="K180" s="10">
        <v>88</v>
      </c>
      <c r="L180" s="10">
        <v>88</v>
      </c>
      <c r="S180" s="306" t="s">
        <v>564</v>
      </c>
      <c r="T180" s="306" t="s">
        <v>565</v>
      </c>
      <c r="U180" s="306" t="s">
        <v>566</v>
      </c>
      <c r="V180" s="383" t="s">
        <v>562</v>
      </c>
      <c r="W180" s="385" t="s">
        <v>597</v>
      </c>
      <c r="X180" s="386" t="s">
        <v>821</v>
      </c>
      <c r="AB180" s="101" t="s">
        <v>564</v>
      </c>
      <c r="AC180" s="101" t="s">
        <v>565</v>
      </c>
      <c r="AD180" s="101" t="s">
        <v>566</v>
      </c>
      <c r="AE180" s="389" t="s">
        <v>562</v>
      </c>
      <c r="AF180" s="390" t="s">
        <v>597</v>
      </c>
      <c r="AG180" s="391" t="s">
        <v>821</v>
      </c>
    </row>
    <row r="181" spans="2:36" ht="32">
      <c r="B181" s="23" t="s">
        <v>56</v>
      </c>
      <c r="C181" s="9">
        <v>17</v>
      </c>
      <c r="D181" s="9">
        <v>17</v>
      </c>
      <c r="E181" s="9">
        <v>9</v>
      </c>
      <c r="F181" s="9">
        <v>9</v>
      </c>
      <c r="G181" s="9">
        <v>18</v>
      </c>
      <c r="H181" s="9">
        <v>18</v>
      </c>
      <c r="I181" s="9">
        <v>44</v>
      </c>
      <c r="J181" s="9">
        <v>44</v>
      </c>
      <c r="K181" s="10">
        <v>88</v>
      </c>
      <c r="L181" s="10">
        <v>88</v>
      </c>
      <c r="S181" s="306" t="s">
        <v>141</v>
      </c>
      <c r="T181" s="306" t="s">
        <v>818</v>
      </c>
      <c r="U181" s="306">
        <v>2607.4872</v>
      </c>
      <c r="V181" s="384">
        <v>3.7361234000204045E-2</v>
      </c>
      <c r="W181" s="387">
        <v>859028</v>
      </c>
      <c r="X181" s="398">
        <f>$J$195*V181 * (1+KTDB_발생량도착량_증가율!$D$12*5) * (1+KTDB_발생량도착량_증가율!$E$12*5)</f>
        <v>75.653512589398986</v>
      </c>
      <c r="AB181" s="101" t="s">
        <v>141</v>
      </c>
      <c r="AC181" s="101" t="s">
        <v>818</v>
      </c>
      <c r="AD181" s="101">
        <v>2607.4872</v>
      </c>
      <c r="AE181" s="392">
        <v>3.7361234000204045E-2</v>
      </c>
      <c r="AF181" s="393">
        <v>859028</v>
      </c>
      <c r="AG181" s="398">
        <f>X181*$R$166</f>
        <v>54.47052906436727</v>
      </c>
    </row>
    <row r="182" spans="2:36" ht="32">
      <c r="B182" s="23" t="s">
        <v>57</v>
      </c>
      <c r="C182" s="9">
        <v>60</v>
      </c>
      <c r="D182" s="9">
        <v>60</v>
      </c>
      <c r="E182" s="9">
        <v>33</v>
      </c>
      <c r="F182" s="9">
        <v>33</v>
      </c>
      <c r="G182" s="9">
        <v>65</v>
      </c>
      <c r="H182" s="9">
        <v>65</v>
      </c>
      <c r="I182" s="9">
        <v>158</v>
      </c>
      <c r="J182" s="9">
        <v>158</v>
      </c>
      <c r="K182" s="10">
        <v>316</v>
      </c>
      <c r="L182" s="10">
        <v>316</v>
      </c>
      <c r="S182" s="306" t="s">
        <v>819</v>
      </c>
      <c r="T182" s="306" t="s">
        <v>103</v>
      </c>
      <c r="U182" s="306">
        <v>15824.4439</v>
      </c>
      <c r="V182" s="384">
        <v>0.22673965627559034</v>
      </c>
      <c r="W182" s="387">
        <v>859029</v>
      </c>
      <c r="X182" s="398">
        <f>$J$195*V182 * (1+KTDB_발생량도착량_증가율!$D$12*5) * (1+KTDB_발생량도착량_증가율!$E$12*5)</f>
        <v>459.12968079340448</v>
      </c>
      <c r="AB182" s="101" t="s">
        <v>819</v>
      </c>
      <c r="AC182" s="101" t="s">
        <v>103</v>
      </c>
      <c r="AD182" s="101">
        <v>15824.4439</v>
      </c>
      <c r="AE182" s="392">
        <v>0.22673965627559034</v>
      </c>
      <c r="AF182" s="393">
        <v>859029</v>
      </c>
      <c r="AG182" s="398">
        <f t="shared" ref="AG182:AG186" si="69">X182*$R$166</f>
        <v>330.57337017125121</v>
      </c>
    </row>
    <row r="183" spans="2:36" ht="32">
      <c r="B183" s="23" t="s">
        <v>58</v>
      </c>
      <c r="C183" s="9">
        <v>103</v>
      </c>
      <c r="D183" s="9">
        <v>103</v>
      </c>
      <c r="E183" s="9">
        <v>56</v>
      </c>
      <c r="F183" s="9">
        <v>56</v>
      </c>
      <c r="G183" s="9">
        <v>112</v>
      </c>
      <c r="H183" s="9">
        <v>112</v>
      </c>
      <c r="I183" s="9">
        <v>271</v>
      </c>
      <c r="J183" s="9">
        <v>271</v>
      </c>
      <c r="K183" s="10">
        <v>542</v>
      </c>
      <c r="L183" s="10">
        <v>542</v>
      </c>
      <c r="S183" s="306" t="s">
        <v>819</v>
      </c>
      <c r="T183" s="306" t="s">
        <v>104</v>
      </c>
      <c r="U183" s="306">
        <v>11511.7454</v>
      </c>
      <c r="V183" s="384">
        <v>0.16494539786817458</v>
      </c>
      <c r="W183" s="387">
        <v>859030</v>
      </c>
      <c r="X183" s="398">
        <f>$J$195*V183 * (1+KTDB_발생량도착량_증가율!$D$12*5) * (1+KTDB_발생량도착량_증가율!$E$12*5)</f>
        <v>334.00124669638103</v>
      </c>
      <c r="AB183" s="101" t="s">
        <v>819</v>
      </c>
      <c r="AC183" s="101" t="s">
        <v>104</v>
      </c>
      <c r="AD183" s="101">
        <v>11511.7454</v>
      </c>
      <c r="AE183" s="392">
        <v>0.16494539786817458</v>
      </c>
      <c r="AF183" s="393">
        <v>859030</v>
      </c>
      <c r="AG183" s="398">
        <f t="shared" si="69"/>
        <v>240.48089762139432</v>
      </c>
    </row>
    <row r="184" spans="2:36" ht="32">
      <c r="B184" s="23" t="s">
        <v>59</v>
      </c>
      <c r="C184" s="9">
        <v>94</v>
      </c>
      <c r="D184" s="9">
        <v>94</v>
      </c>
      <c r="E184" s="9">
        <v>52</v>
      </c>
      <c r="F184" s="9">
        <v>52</v>
      </c>
      <c r="G184" s="9">
        <v>103</v>
      </c>
      <c r="H184" s="9">
        <v>103</v>
      </c>
      <c r="I184" s="9">
        <v>249</v>
      </c>
      <c r="J184" s="9">
        <v>249</v>
      </c>
      <c r="K184" s="10">
        <v>498</v>
      </c>
      <c r="L184" s="10">
        <v>498</v>
      </c>
      <c r="S184" s="306" t="s">
        <v>819</v>
      </c>
      <c r="T184" s="306" t="s">
        <v>117</v>
      </c>
      <c r="U184" s="306">
        <v>4659.9287999999997</v>
      </c>
      <c r="V184" s="384">
        <v>6.6769528272694875E-2</v>
      </c>
      <c r="W184" s="387">
        <v>859031</v>
      </c>
      <c r="X184" s="398">
        <f>$J$195*V184 * (1+KTDB_발생량도착량_증가율!$D$12*5) * (1+KTDB_발생량도착량_증가율!$E$12*5)</f>
        <v>135.20295790387883</v>
      </c>
      <c r="AB184" s="101" t="s">
        <v>819</v>
      </c>
      <c r="AC184" s="101" t="s">
        <v>117</v>
      </c>
      <c r="AD184" s="101">
        <v>4659.9287999999997</v>
      </c>
      <c r="AE184" s="392">
        <v>6.6769528272694875E-2</v>
      </c>
      <c r="AF184" s="393">
        <v>859031</v>
      </c>
      <c r="AG184" s="398">
        <f t="shared" si="69"/>
        <v>97.34612969079275</v>
      </c>
    </row>
    <row r="185" spans="2:36" ht="32">
      <c r="B185" s="23" t="s">
        <v>60</v>
      </c>
      <c r="C185" s="9">
        <v>26</v>
      </c>
      <c r="D185" s="9">
        <v>26</v>
      </c>
      <c r="E185" s="9">
        <v>14</v>
      </c>
      <c r="F185" s="9">
        <v>14</v>
      </c>
      <c r="G185" s="9">
        <v>28</v>
      </c>
      <c r="H185" s="9">
        <v>28</v>
      </c>
      <c r="I185" s="9">
        <v>68</v>
      </c>
      <c r="J185" s="9">
        <v>68</v>
      </c>
      <c r="K185" s="10">
        <v>136</v>
      </c>
      <c r="L185" s="10">
        <v>136</v>
      </c>
      <c r="S185" s="306" t="s">
        <v>819</v>
      </c>
      <c r="T185" s="306" t="s">
        <v>118</v>
      </c>
      <c r="U185" s="306">
        <v>23055.857</v>
      </c>
      <c r="V185" s="384">
        <v>0.33035455301649896</v>
      </c>
      <c r="W185" s="387">
        <v>859032</v>
      </c>
      <c r="X185" s="398">
        <f>$J$195*V185 * (1+KTDB_발생량도착량_증가율!$D$12*5) * (1+KTDB_발생량도착량_증가율!$E$12*5)</f>
        <v>668.94156481722439</v>
      </c>
      <c r="AB185" s="101" t="s">
        <v>819</v>
      </c>
      <c r="AC185" s="101" t="s">
        <v>118</v>
      </c>
      <c r="AD185" s="101">
        <v>23055.857</v>
      </c>
      <c r="AE185" s="392">
        <v>0.33035455301649896</v>
      </c>
      <c r="AF185" s="393">
        <v>859032</v>
      </c>
      <c r="AG185" s="398">
        <f t="shared" si="69"/>
        <v>481.63792666840152</v>
      </c>
    </row>
    <row r="186" spans="2:36" ht="32.5" thickBot="1">
      <c r="B186" s="23" t="s">
        <v>61</v>
      </c>
      <c r="C186" s="9">
        <v>69</v>
      </c>
      <c r="D186" s="9">
        <v>69</v>
      </c>
      <c r="E186" s="9">
        <v>38</v>
      </c>
      <c r="F186" s="9">
        <v>38</v>
      </c>
      <c r="G186" s="9">
        <v>74</v>
      </c>
      <c r="H186" s="9">
        <v>74</v>
      </c>
      <c r="I186" s="9">
        <v>181</v>
      </c>
      <c r="J186" s="9">
        <v>181</v>
      </c>
      <c r="K186" s="10">
        <v>362</v>
      </c>
      <c r="L186" s="10">
        <v>362</v>
      </c>
      <c r="S186" s="306" t="s">
        <v>819</v>
      </c>
      <c r="T186" s="306" t="s">
        <v>119</v>
      </c>
      <c r="U186" s="306">
        <v>12131.7871</v>
      </c>
      <c r="V186" s="384">
        <v>0.17382963056683723</v>
      </c>
      <c r="W186" s="388">
        <v>859033</v>
      </c>
      <c r="X186" s="399">
        <f>$J$195*V186 * (1+KTDB_발생량도착량_증가율!$D$12*5) * (1+KTDB_발생량도착량_증가율!$E$12*5)</f>
        <v>351.99110779978452</v>
      </c>
      <c r="AB186" s="101" t="s">
        <v>819</v>
      </c>
      <c r="AC186" s="101" t="s">
        <v>119</v>
      </c>
      <c r="AD186" s="101">
        <v>12131.7871</v>
      </c>
      <c r="AE186" s="392">
        <v>0.17382963056683723</v>
      </c>
      <c r="AF186" s="394">
        <v>859033</v>
      </c>
      <c r="AG186" s="399">
        <f t="shared" si="69"/>
        <v>253.43359761584483</v>
      </c>
    </row>
    <row r="187" spans="2:36" ht="32">
      <c r="B187" s="23" t="s">
        <v>62</v>
      </c>
      <c r="C187" s="9">
        <v>60</v>
      </c>
      <c r="D187" s="9">
        <v>60</v>
      </c>
      <c r="E187" s="9">
        <v>33</v>
      </c>
      <c r="F187" s="9">
        <v>33</v>
      </c>
      <c r="G187" s="9">
        <v>65</v>
      </c>
      <c r="H187" s="9">
        <v>65</v>
      </c>
      <c r="I187" s="9">
        <v>158</v>
      </c>
      <c r="J187" s="9">
        <v>158</v>
      </c>
      <c r="K187" s="10">
        <v>316</v>
      </c>
      <c r="L187" s="10">
        <v>316</v>
      </c>
      <c r="U187" s="382">
        <f>SUM(U181:U186)</f>
        <v>69791.249400000001</v>
      </c>
      <c r="V187" s="382">
        <f>SUM(V181:V186)</f>
        <v>1</v>
      </c>
      <c r="X187">
        <f>SUM(X181:X186)</f>
        <v>2024.9200706000722</v>
      </c>
      <c r="AG187">
        <f>SUM(AG181:AG186)</f>
        <v>1457.9424508320519</v>
      </c>
    </row>
    <row r="188" spans="2:36" ht="32">
      <c r="B188" s="23" t="s">
        <v>63</v>
      </c>
      <c r="C188" s="9">
        <v>69</v>
      </c>
      <c r="D188" s="9">
        <v>69</v>
      </c>
      <c r="E188" s="9">
        <v>38</v>
      </c>
      <c r="F188" s="9">
        <v>38</v>
      </c>
      <c r="G188" s="9">
        <v>74</v>
      </c>
      <c r="H188" s="9">
        <v>74</v>
      </c>
      <c r="I188" s="9">
        <v>181</v>
      </c>
      <c r="J188" s="9">
        <v>181</v>
      </c>
      <c r="K188" s="10">
        <v>362</v>
      </c>
      <c r="L188" s="10">
        <v>362</v>
      </c>
      <c r="P188" s="396">
        <v>2025</v>
      </c>
      <c r="Q188" s="395"/>
      <c r="R188" s="395"/>
      <c r="S188" s="395"/>
      <c r="T188" s="395"/>
      <c r="U188" s="395"/>
      <c r="V188" s="395"/>
      <c r="W188" s="395"/>
      <c r="X188" s="395"/>
      <c r="Y188" s="395"/>
      <c r="Z188" s="395"/>
      <c r="AA188" s="395"/>
      <c r="AB188" s="395"/>
      <c r="AC188" s="395"/>
      <c r="AD188" s="395"/>
      <c r="AE188" s="395"/>
      <c r="AF188" s="395"/>
      <c r="AG188" s="395"/>
      <c r="AH188" s="395"/>
      <c r="AI188" s="395"/>
      <c r="AJ188" s="395"/>
    </row>
    <row r="189" spans="2:36" ht="32.5" thickBot="1">
      <c r="B189" s="23" t="s">
        <v>64</v>
      </c>
      <c r="C189" s="9">
        <v>77</v>
      </c>
      <c r="D189" s="9">
        <v>77</v>
      </c>
      <c r="E189" s="9">
        <v>42</v>
      </c>
      <c r="F189" s="9">
        <v>42</v>
      </c>
      <c r="G189" s="9">
        <v>84</v>
      </c>
      <c r="H189" s="9">
        <v>84</v>
      </c>
      <c r="I189" s="9">
        <v>203</v>
      </c>
      <c r="J189" s="9">
        <v>203</v>
      </c>
      <c r="K189" s="10">
        <v>406</v>
      </c>
      <c r="L189" s="10">
        <v>406</v>
      </c>
      <c r="Q189" s="353" t="s">
        <v>823</v>
      </c>
    </row>
    <row r="190" spans="2:36" ht="32">
      <c r="B190" s="23" t="s">
        <v>65</v>
      </c>
      <c r="C190" s="9">
        <v>77</v>
      </c>
      <c r="D190" s="9">
        <v>77</v>
      </c>
      <c r="E190" s="9">
        <v>42</v>
      </c>
      <c r="F190" s="9">
        <v>42</v>
      </c>
      <c r="G190" s="9">
        <v>84</v>
      </c>
      <c r="H190" s="9">
        <v>84</v>
      </c>
      <c r="I190" s="9">
        <v>203</v>
      </c>
      <c r="J190" s="9">
        <v>203</v>
      </c>
      <c r="K190" s="10">
        <v>406</v>
      </c>
      <c r="L190" s="10">
        <v>406</v>
      </c>
      <c r="S190" s="306" t="s">
        <v>564</v>
      </c>
      <c r="T190" s="306" t="s">
        <v>565</v>
      </c>
      <c r="U190" s="306" t="s">
        <v>566</v>
      </c>
      <c r="V190" s="383" t="s">
        <v>562</v>
      </c>
      <c r="W190" s="385" t="s">
        <v>597</v>
      </c>
      <c r="X190" s="386" t="s">
        <v>821</v>
      </c>
      <c r="AB190" s="101" t="s">
        <v>564</v>
      </c>
      <c r="AC190" s="101" t="s">
        <v>565</v>
      </c>
      <c r="AD190" s="101" t="s">
        <v>566</v>
      </c>
      <c r="AE190" s="389" t="s">
        <v>562</v>
      </c>
      <c r="AF190" s="390" t="s">
        <v>597</v>
      </c>
      <c r="AG190" s="391" t="s">
        <v>821</v>
      </c>
    </row>
    <row r="191" spans="2:36" ht="32">
      <c r="B191" s="23" t="s">
        <v>66</v>
      </c>
      <c r="C191" s="9">
        <v>43</v>
      </c>
      <c r="D191" s="9">
        <v>43</v>
      </c>
      <c r="E191" s="9">
        <v>24</v>
      </c>
      <c r="F191" s="9">
        <v>24</v>
      </c>
      <c r="G191" s="9">
        <v>47</v>
      </c>
      <c r="H191" s="9">
        <v>47</v>
      </c>
      <c r="I191" s="9">
        <v>114</v>
      </c>
      <c r="J191" s="9">
        <v>114</v>
      </c>
      <c r="K191" s="10">
        <v>228</v>
      </c>
      <c r="L191" s="10">
        <v>228</v>
      </c>
      <c r="S191" s="306" t="s">
        <v>141</v>
      </c>
      <c r="T191" s="306" t="s">
        <v>818</v>
      </c>
      <c r="U191" s="306">
        <v>2607.4872</v>
      </c>
      <c r="V191" s="384">
        <v>3.7361234000204045E-2</v>
      </c>
      <c r="W191" s="387">
        <v>859028</v>
      </c>
      <c r="X191" s="398">
        <f>$I$195*V191 *(1+KTDB_발생량도착량_증가율!$D$13*5) * (1+KTDB_발생량도착량_증가율!$E$12*5)</f>
        <v>75.662371232218092</v>
      </c>
      <c r="AB191" s="101" t="s">
        <v>141</v>
      </c>
      <c r="AC191" s="101" t="s">
        <v>818</v>
      </c>
      <c r="AD191" s="101">
        <v>2607.4872</v>
      </c>
      <c r="AE191" s="392">
        <v>3.7361234000204045E-2</v>
      </c>
      <c r="AF191" s="393">
        <v>859028</v>
      </c>
      <c r="AG191" s="398">
        <f t="shared" ref="AG191:AG196" si="70">X191*$R$166</f>
        <v>54.476907287197022</v>
      </c>
    </row>
    <row r="192" spans="2:36" ht="32">
      <c r="B192" s="23" t="s">
        <v>67</v>
      </c>
      <c r="C192" s="9">
        <v>9</v>
      </c>
      <c r="D192" s="9">
        <v>9</v>
      </c>
      <c r="E192" s="9">
        <v>5</v>
      </c>
      <c r="F192" s="9">
        <v>5</v>
      </c>
      <c r="G192" s="9">
        <v>10</v>
      </c>
      <c r="H192" s="9">
        <v>10</v>
      </c>
      <c r="I192" s="9">
        <v>24</v>
      </c>
      <c r="J192" s="9">
        <v>24</v>
      </c>
      <c r="K192" s="10">
        <v>48</v>
      </c>
      <c r="L192" s="10">
        <v>48</v>
      </c>
      <c r="S192" s="306" t="s">
        <v>819</v>
      </c>
      <c r="T192" s="306" t="s">
        <v>103</v>
      </c>
      <c r="U192" s="306">
        <v>15824.4439</v>
      </c>
      <c r="V192" s="384">
        <v>0.22673965627559034</v>
      </c>
      <c r="W192" s="387">
        <v>859029</v>
      </c>
      <c r="X192" s="398">
        <f>$I$195*V192 *(1+KTDB_발생량도착량_증가율!$D$13*5) * (1+KTDB_발생량도착량_증가율!$E$12*5)</f>
        <v>459.18344255159099</v>
      </c>
      <c r="AB192" s="101" t="s">
        <v>819</v>
      </c>
      <c r="AC192" s="101" t="s">
        <v>103</v>
      </c>
      <c r="AD192" s="101">
        <v>15824.4439</v>
      </c>
      <c r="AE192" s="392">
        <v>0.22673965627559034</v>
      </c>
      <c r="AF192" s="393">
        <v>859029</v>
      </c>
      <c r="AG192" s="398">
        <f t="shared" si="70"/>
        <v>330.61207863714549</v>
      </c>
    </row>
    <row r="193" spans="2:33" ht="32">
      <c r="B193" s="23" t="s">
        <v>68</v>
      </c>
      <c r="C193" s="9">
        <v>1</v>
      </c>
      <c r="D193" s="9">
        <v>1</v>
      </c>
      <c r="E193" s="9">
        <v>1</v>
      </c>
      <c r="F193" s="9">
        <v>1</v>
      </c>
      <c r="G193" s="9">
        <v>1</v>
      </c>
      <c r="H193" s="9">
        <v>1</v>
      </c>
      <c r="I193" s="9">
        <v>3</v>
      </c>
      <c r="J193" s="9">
        <v>3</v>
      </c>
      <c r="K193" s="10">
        <v>6</v>
      </c>
      <c r="L193" s="10">
        <v>6</v>
      </c>
      <c r="S193" s="306" t="s">
        <v>819</v>
      </c>
      <c r="T193" s="306" t="s">
        <v>104</v>
      </c>
      <c r="U193" s="306">
        <v>11511.7454</v>
      </c>
      <c r="V193" s="384">
        <v>0.16494539786817458</v>
      </c>
      <c r="W193" s="387">
        <v>859030</v>
      </c>
      <c r="X193" s="398">
        <f>$I$195*V193 *(1+KTDB_발생량도착량_증가율!$D$13*5) * (1+KTDB_발생량도착량_증가율!$E$12*5)</f>
        <v>334.04035654923979</v>
      </c>
      <c r="AB193" s="101" t="s">
        <v>819</v>
      </c>
      <c r="AC193" s="101" t="s">
        <v>104</v>
      </c>
      <c r="AD193" s="101">
        <v>11511.7454</v>
      </c>
      <c r="AE193" s="392">
        <v>0.16494539786817458</v>
      </c>
      <c r="AF193" s="393">
        <v>859030</v>
      </c>
      <c r="AG193" s="398">
        <f t="shared" si="70"/>
        <v>240.50905671545263</v>
      </c>
    </row>
    <row r="194" spans="2:33">
      <c r="B194" s="23" t="s">
        <v>42</v>
      </c>
      <c r="C194" s="9">
        <v>1</v>
      </c>
      <c r="D194" s="9">
        <v>1</v>
      </c>
      <c r="E194" s="9">
        <v>0</v>
      </c>
      <c r="F194" s="9">
        <v>0</v>
      </c>
      <c r="G194" s="9">
        <v>1</v>
      </c>
      <c r="H194" s="9">
        <v>1</v>
      </c>
      <c r="I194" s="9">
        <v>2</v>
      </c>
      <c r="J194" s="9">
        <v>2</v>
      </c>
      <c r="K194" s="10">
        <v>4</v>
      </c>
      <c r="L194" s="10">
        <v>4</v>
      </c>
      <c r="S194" s="306" t="s">
        <v>819</v>
      </c>
      <c r="T194" s="306" t="s">
        <v>117</v>
      </c>
      <c r="U194" s="306">
        <v>4659.9287999999997</v>
      </c>
      <c r="V194" s="384">
        <v>6.6769528272694875E-2</v>
      </c>
      <c r="W194" s="387">
        <v>859031</v>
      </c>
      <c r="X194" s="398">
        <f>$I$195*V194 *(1+KTDB_발생량도착량_증가율!$D$13*5) * (1+KTDB_발생량도착량_증가율!$E$12*5)</f>
        <v>135.21878948487435</v>
      </c>
      <c r="AB194" s="101" t="s">
        <v>819</v>
      </c>
      <c r="AC194" s="101" t="s">
        <v>117</v>
      </c>
      <c r="AD194" s="101">
        <v>4659.9287999999997</v>
      </c>
      <c r="AE194" s="392">
        <v>6.6769528272694875E-2</v>
      </c>
      <c r="AF194" s="393">
        <v>859031</v>
      </c>
      <c r="AG194" s="398">
        <f t="shared" si="70"/>
        <v>97.357528429109522</v>
      </c>
    </row>
    <row r="195" spans="2:33" ht="17.5" thickBot="1">
      <c r="B195" s="24" t="s">
        <v>11</v>
      </c>
      <c r="C195" s="16">
        <v>738</v>
      </c>
      <c r="D195" s="16">
        <v>738</v>
      </c>
      <c r="E195" s="16">
        <v>404</v>
      </c>
      <c r="F195" s="16">
        <v>404</v>
      </c>
      <c r="G195" s="16">
        <v>800</v>
      </c>
      <c r="H195" s="16">
        <v>800</v>
      </c>
      <c r="I195" s="379">
        <v>1942</v>
      </c>
      <c r="J195" s="379">
        <v>1942</v>
      </c>
      <c r="K195" s="380">
        <v>3884</v>
      </c>
      <c r="L195" s="380">
        <v>3884</v>
      </c>
      <c r="S195" s="306" t="s">
        <v>819</v>
      </c>
      <c r="T195" s="306" t="s">
        <v>118</v>
      </c>
      <c r="U195" s="306">
        <v>23055.857</v>
      </c>
      <c r="V195" s="384">
        <v>0.33035455301649896</v>
      </c>
      <c r="W195" s="387">
        <v>859032</v>
      </c>
      <c r="X195" s="398">
        <f>$I$195*V195 *(1+KTDB_발생량도착량_증가율!$D$13*5) * (1+KTDB_발생량도착량_증가율!$E$12*5)</f>
        <v>669.01989448344523</v>
      </c>
      <c r="AB195" s="101" t="s">
        <v>819</v>
      </c>
      <c r="AC195" s="101" t="s">
        <v>118</v>
      </c>
      <c r="AD195" s="101">
        <v>23055.857</v>
      </c>
      <c r="AE195" s="392">
        <v>0.33035455301649896</v>
      </c>
      <c r="AF195" s="393">
        <v>859032</v>
      </c>
      <c r="AG195" s="398">
        <f t="shared" si="70"/>
        <v>481.69432402808053</v>
      </c>
    </row>
    <row r="196" spans="2:33" ht="18" thickTop="1" thickBot="1">
      <c r="S196" s="306" t="s">
        <v>819</v>
      </c>
      <c r="T196" s="306" t="s">
        <v>119</v>
      </c>
      <c r="U196" s="306">
        <v>12131.7871</v>
      </c>
      <c r="V196" s="384">
        <v>0.17382963056683723</v>
      </c>
      <c r="W196" s="388">
        <v>859033</v>
      </c>
      <c r="X196" s="399">
        <f>$I$195*V196 *(1+KTDB_발생량도착량_증가율!$D$13*5) * (1+KTDB_발생량도착량_증가율!$E$12*5)</f>
        <v>352.0323241741836</v>
      </c>
      <c r="AB196" s="101" t="s">
        <v>819</v>
      </c>
      <c r="AC196" s="101" t="s">
        <v>119</v>
      </c>
      <c r="AD196" s="101">
        <v>12131.7871</v>
      </c>
      <c r="AE196" s="392">
        <v>0.17382963056683723</v>
      </c>
      <c r="AF196" s="394">
        <v>859033</v>
      </c>
      <c r="AG196" s="399">
        <f t="shared" si="70"/>
        <v>253.4632734054122</v>
      </c>
    </row>
    <row r="197" spans="2:33">
      <c r="X197">
        <f>SUM(X191:X196)</f>
        <v>2025.157178475552</v>
      </c>
      <c r="AG197">
        <f>SUM(AG191:AG196)</f>
        <v>1458.1131685023972</v>
      </c>
    </row>
    <row r="264" spans="1:20" ht="23">
      <c r="A264" s="32"/>
      <c r="B264" s="99" t="s">
        <v>272</v>
      </c>
      <c r="I264" t="s">
        <v>245</v>
      </c>
      <c r="L264" s="99" t="s">
        <v>278</v>
      </c>
      <c r="S264" t="s">
        <v>245</v>
      </c>
    </row>
    <row r="265" spans="1:20">
      <c r="B265" s="594" t="s">
        <v>268</v>
      </c>
      <c r="C265" s="594"/>
      <c r="D265" s="100"/>
      <c r="E265" s="100" t="s">
        <v>261</v>
      </c>
      <c r="F265" s="100" t="s">
        <v>262</v>
      </c>
      <c r="G265" s="100" t="s">
        <v>263</v>
      </c>
      <c r="H265" s="100" t="s">
        <v>264</v>
      </c>
      <c r="I265" s="100" t="s">
        <v>265</v>
      </c>
      <c r="J265" s="100"/>
      <c r="L265" s="594" t="s">
        <v>271</v>
      </c>
      <c r="M265" s="594"/>
      <c r="N265" s="100"/>
      <c r="O265" s="100" t="s">
        <v>261</v>
      </c>
      <c r="P265" s="100" t="s">
        <v>262</v>
      </c>
      <c r="Q265" s="100" t="s">
        <v>263</v>
      </c>
      <c r="R265" s="100" t="s">
        <v>264</v>
      </c>
      <c r="S265" s="100" t="s">
        <v>265</v>
      </c>
      <c r="T265" s="100"/>
    </row>
    <row r="266" spans="1:20">
      <c r="B266" s="575" t="s">
        <v>135</v>
      </c>
      <c r="C266" s="575"/>
      <c r="D266" s="98"/>
      <c r="E266" s="581" t="s">
        <v>273</v>
      </c>
      <c r="F266" s="582"/>
      <c r="G266" s="582"/>
      <c r="H266" s="582"/>
      <c r="I266" s="583"/>
      <c r="J266" s="98"/>
      <c r="L266" s="575" t="s">
        <v>135</v>
      </c>
      <c r="M266" s="575"/>
      <c r="N266" s="98"/>
      <c r="O266" s="581" t="s">
        <v>273</v>
      </c>
      <c r="P266" s="582"/>
      <c r="Q266" s="582"/>
      <c r="R266" s="583"/>
      <c r="S266" s="98"/>
      <c r="T266" s="98"/>
    </row>
    <row r="267" spans="1:20">
      <c r="B267" s="575"/>
      <c r="C267" s="575"/>
      <c r="D267" s="98"/>
      <c r="E267" s="584"/>
      <c r="F267" s="585"/>
      <c r="G267" s="585"/>
      <c r="H267" s="585"/>
      <c r="I267" s="586"/>
      <c r="J267" s="98"/>
      <c r="L267" s="575"/>
      <c r="M267" s="575"/>
      <c r="N267" s="98"/>
      <c r="O267" s="584"/>
      <c r="P267" s="585"/>
      <c r="Q267" s="585"/>
      <c r="R267" s="586"/>
      <c r="S267" s="98"/>
      <c r="T267" s="98"/>
    </row>
    <row r="268" spans="1:20">
      <c r="B268" s="575" t="s">
        <v>136</v>
      </c>
      <c r="C268" s="575"/>
      <c r="D268" s="98" t="s">
        <v>36</v>
      </c>
      <c r="E268" s="101">
        <f>$N$29*U11</f>
        <v>36.155999999999999</v>
      </c>
      <c r="F268" s="101">
        <f>$N$29*V11</f>
        <v>10.35</v>
      </c>
      <c r="G268" s="101">
        <f>$N$29*W11</f>
        <v>82.524000000000001</v>
      </c>
      <c r="H268" s="101">
        <f>$N$29*X11</f>
        <v>8.9700000000000006</v>
      </c>
      <c r="I268" s="101">
        <f>SUM(E268:H268)</f>
        <v>138</v>
      </c>
      <c r="J268" s="98" t="b">
        <f>I268=N29</f>
        <v>1</v>
      </c>
      <c r="L268" s="575" t="s">
        <v>136</v>
      </c>
      <c r="M268" s="575"/>
      <c r="N268" s="98" t="s">
        <v>36</v>
      </c>
      <c r="O268" s="101">
        <f>$Q$29*U11</f>
        <v>35.370000000000005</v>
      </c>
      <c r="P268" s="101">
        <f>$Q$29*V11</f>
        <v>10.125</v>
      </c>
      <c r="Q268" s="101">
        <f>$Q$29*W11</f>
        <v>80.72999999999999</v>
      </c>
      <c r="R268" s="101">
        <f>$Q$29*X11</f>
        <v>8.7750000000000004</v>
      </c>
      <c r="S268" s="101">
        <f>SUM(O268:R268)</f>
        <v>135</v>
      </c>
      <c r="T268" s="98" t="b">
        <f>S268=Q29</f>
        <v>1</v>
      </c>
    </row>
    <row r="269" spans="1:20">
      <c r="B269" s="575"/>
      <c r="C269" s="575"/>
      <c r="D269" s="98" t="s">
        <v>37</v>
      </c>
      <c r="E269" s="101">
        <f>$O$29*U12</f>
        <v>0</v>
      </c>
      <c r="F269" s="101">
        <f>$O$29*V12</f>
        <v>0</v>
      </c>
      <c r="G269" s="101">
        <f>$O$29*W12</f>
        <v>0</v>
      </c>
      <c r="H269" s="101">
        <f>$O$29*X12</f>
        <v>0</v>
      </c>
      <c r="I269" s="101">
        <f>SUM(E269:H269)</f>
        <v>0</v>
      </c>
      <c r="J269" s="98" t="b">
        <f>I269=O29</f>
        <v>1</v>
      </c>
      <c r="L269" s="575"/>
      <c r="M269" s="575"/>
      <c r="N269" s="98" t="s">
        <v>37</v>
      </c>
      <c r="O269" s="101">
        <f>$R$29*U12</f>
        <v>0</v>
      </c>
      <c r="P269" s="101">
        <f>$R$29*V12</f>
        <v>0</v>
      </c>
      <c r="Q269" s="101">
        <f>$R$29*W12</f>
        <v>0</v>
      </c>
      <c r="R269" s="101">
        <f>$R$29*X12</f>
        <v>0</v>
      </c>
      <c r="S269" s="101">
        <f>SUM(O269:R269)</f>
        <v>0</v>
      </c>
      <c r="T269" s="98" t="b">
        <f>S269=R29</f>
        <v>1</v>
      </c>
    </row>
    <row r="270" spans="1:20">
      <c r="B270" s="575" t="s">
        <v>137</v>
      </c>
      <c r="C270" s="575"/>
      <c r="D270" s="98" t="s">
        <v>36</v>
      </c>
      <c r="E270" s="101">
        <f>$N$30*U15</f>
        <v>312.512</v>
      </c>
      <c r="F270" s="101">
        <f>$N$30*V15</f>
        <v>74.015999999999991</v>
      </c>
      <c r="G270" s="101">
        <f>$N$30*W15</f>
        <v>425.59199999999998</v>
      </c>
      <c r="H270" s="101">
        <f>$N$30*X15</f>
        <v>215.88</v>
      </c>
      <c r="I270" s="101">
        <f t="shared" ref="I270:I287" si="71">SUM(E270:H270)</f>
        <v>1028</v>
      </c>
      <c r="J270" s="98" t="b">
        <f>I270=N30</f>
        <v>1</v>
      </c>
      <c r="L270" s="575" t="s">
        <v>137</v>
      </c>
      <c r="M270" s="575"/>
      <c r="N270" s="98" t="s">
        <v>36</v>
      </c>
      <c r="O270" s="101">
        <f>$Q$30*U15</f>
        <v>307.34399999999999</v>
      </c>
      <c r="P270" s="101">
        <f>$Q$30*V15</f>
        <v>72.792000000000002</v>
      </c>
      <c r="Q270" s="101">
        <f>$Q$30*W15</f>
        <v>418.55399999999997</v>
      </c>
      <c r="R270" s="101">
        <f>$Q$30*X15</f>
        <v>212.31</v>
      </c>
      <c r="S270" s="101">
        <f t="shared" ref="S270:S287" si="72">SUM(O270:R270)</f>
        <v>1011</v>
      </c>
      <c r="T270" s="98" t="b">
        <f>S270=Q30</f>
        <v>1</v>
      </c>
    </row>
    <row r="271" spans="1:20">
      <c r="B271" s="575"/>
      <c r="C271" s="575"/>
      <c r="D271" s="98" t="s">
        <v>37</v>
      </c>
      <c r="E271" s="101">
        <f>$O$30*U16</f>
        <v>0</v>
      </c>
      <c r="F271" s="101">
        <f>$O$30*V16</f>
        <v>0</v>
      </c>
      <c r="G271" s="101">
        <f>$O$30*W16</f>
        <v>0</v>
      </c>
      <c r="H271" s="101">
        <f>$O$30*X16</f>
        <v>0</v>
      </c>
      <c r="I271" s="101">
        <f t="shared" si="71"/>
        <v>0</v>
      </c>
      <c r="J271" s="98" t="b">
        <f>I271=O30</f>
        <v>1</v>
      </c>
      <c r="L271" s="575"/>
      <c r="M271" s="575"/>
      <c r="N271" s="98" t="s">
        <v>37</v>
      </c>
      <c r="O271" s="101">
        <f>$R$30*U16</f>
        <v>0</v>
      </c>
      <c r="P271" s="101">
        <f>$R$30*V16</f>
        <v>0</v>
      </c>
      <c r="Q271" s="101">
        <f>$R$30*W16</f>
        <v>0</v>
      </c>
      <c r="R271" s="101">
        <f>$R$30*X16</f>
        <v>0</v>
      </c>
      <c r="S271" s="101">
        <f t="shared" si="72"/>
        <v>0</v>
      </c>
      <c r="T271" s="98" t="b">
        <f>S271=R30</f>
        <v>1</v>
      </c>
    </row>
    <row r="272" spans="1:20">
      <c r="B272" s="575" t="s">
        <v>139</v>
      </c>
      <c r="C272" s="575"/>
      <c r="D272" s="98" t="s">
        <v>36</v>
      </c>
      <c r="E272" s="101">
        <f>$N$31*U13</f>
        <v>11167.695</v>
      </c>
      <c r="F272" s="101">
        <f>$N$31*V13</f>
        <v>1479.357</v>
      </c>
      <c r="G272" s="101">
        <f>$N$31*W13</f>
        <v>10094.436</v>
      </c>
      <c r="H272" s="101">
        <f>$N$31*X13</f>
        <v>6265.5119999999997</v>
      </c>
      <c r="I272" s="101">
        <f t="shared" si="71"/>
        <v>29006.999999999996</v>
      </c>
      <c r="J272" s="98" t="b">
        <f>I272=N31</f>
        <v>1</v>
      </c>
      <c r="L272" s="575" t="s">
        <v>139</v>
      </c>
      <c r="M272" s="575"/>
      <c r="N272" s="98" t="s">
        <v>36</v>
      </c>
      <c r="O272" s="101">
        <f>$Q$31*U13</f>
        <v>10984.82</v>
      </c>
      <c r="P272" s="101">
        <f>$Q$31*V13</f>
        <v>1455.1319999999998</v>
      </c>
      <c r="Q272" s="101">
        <f>$Q$31*W13</f>
        <v>9929.1359999999986</v>
      </c>
      <c r="R272" s="101">
        <f>$Q$31*X13</f>
        <v>6162.9120000000003</v>
      </c>
      <c r="S272" s="101">
        <f t="shared" si="72"/>
        <v>28531.999999999996</v>
      </c>
      <c r="T272" s="98" t="b">
        <f>S272=Q31</f>
        <v>1</v>
      </c>
    </row>
    <row r="273" spans="2:20">
      <c r="B273" s="575"/>
      <c r="C273" s="575"/>
      <c r="D273" s="98" t="s">
        <v>37</v>
      </c>
      <c r="E273" s="101">
        <f>$O$31*U14</f>
        <v>0</v>
      </c>
      <c r="F273" s="101">
        <f>$O$31*V14</f>
        <v>0</v>
      </c>
      <c r="G273" s="101">
        <f>$O$31*W14</f>
        <v>0</v>
      </c>
      <c r="H273" s="101">
        <f>$O$31*X14</f>
        <v>0</v>
      </c>
      <c r="I273" s="101">
        <f t="shared" si="71"/>
        <v>0</v>
      </c>
      <c r="J273" s="98" t="b">
        <f>I273=O31</f>
        <v>1</v>
      </c>
      <c r="L273" s="575"/>
      <c r="M273" s="575"/>
      <c r="N273" s="98" t="s">
        <v>37</v>
      </c>
      <c r="O273" s="101">
        <f>$R$31*U14</f>
        <v>0</v>
      </c>
      <c r="P273" s="101">
        <f>$R$31*V14</f>
        <v>0</v>
      </c>
      <c r="Q273" s="101">
        <f>$R$31*W14</f>
        <v>0</v>
      </c>
      <c r="R273" s="101">
        <f>$R$31*X14</f>
        <v>0</v>
      </c>
      <c r="S273" s="101">
        <f t="shared" si="72"/>
        <v>0</v>
      </c>
      <c r="T273" s="98" t="b">
        <f>S273=R31</f>
        <v>1</v>
      </c>
    </row>
    <row r="274" spans="2:20">
      <c r="B274" s="575" t="s">
        <v>43</v>
      </c>
      <c r="C274" s="575"/>
      <c r="D274" s="98" t="s">
        <v>36</v>
      </c>
      <c r="E274" s="101">
        <f>$N$32*U13</f>
        <v>1210.44</v>
      </c>
      <c r="F274" s="101">
        <f>$N$32*V13</f>
        <v>160.34399999999999</v>
      </c>
      <c r="G274" s="101">
        <f>$N$32*W13</f>
        <v>1094.1119999999999</v>
      </c>
      <c r="H274" s="101">
        <f>$N$32*X13</f>
        <v>679.10400000000004</v>
      </c>
      <c r="I274" s="101">
        <f t="shared" si="71"/>
        <v>3144</v>
      </c>
      <c r="J274" s="98" t="b">
        <f>I274=N32</f>
        <v>1</v>
      </c>
      <c r="L274" s="575" t="s">
        <v>43</v>
      </c>
      <c r="M274" s="575"/>
      <c r="N274" s="98" t="s">
        <v>36</v>
      </c>
      <c r="O274" s="101">
        <f>$Q$32*U13</f>
        <v>1190.42</v>
      </c>
      <c r="P274" s="101">
        <f>$Q$32*V13</f>
        <v>157.69199999999998</v>
      </c>
      <c r="Q274" s="101">
        <f>$Q$32*W13</f>
        <v>1076.0159999999998</v>
      </c>
      <c r="R274" s="101">
        <f>$Q$32*X13</f>
        <v>667.87199999999996</v>
      </c>
      <c r="S274" s="101">
        <f t="shared" si="72"/>
        <v>3091.9999999999995</v>
      </c>
      <c r="T274" s="98" t="b">
        <f>S274=Q32</f>
        <v>1</v>
      </c>
    </row>
    <row r="275" spans="2:20">
      <c r="B275" s="575"/>
      <c r="C275" s="575"/>
      <c r="D275" s="98" t="s">
        <v>37</v>
      </c>
      <c r="E275" s="101">
        <f>$O$32*U14</f>
        <v>0</v>
      </c>
      <c r="F275" s="101">
        <f>$O$32*V14</f>
        <v>0</v>
      </c>
      <c r="G275" s="101">
        <f>$O$32*W14</f>
        <v>0</v>
      </c>
      <c r="H275" s="101">
        <f>$O$32*X14</f>
        <v>0</v>
      </c>
      <c r="I275" s="101">
        <f t="shared" si="71"/>
        <v>0</v>
      </c>
      <c r="J275" s="98" t="b">
        <f>I275=O32</f>
        <v>1</v>
      </c>
      <c r="L275" s="575"/>
      <c r="M275" s="575"/>
      <c r="N275" s="98" t="s">
        <v>37</v>
      </c>
      <c r="O275" s="101">
        <f>$R$32*U14</f>
        <v>0</v>
      </c>
      <c r="P275" s="101">
        <f>$R$32*V14</f>
        <v>0</v>
      </c>
      <c r="Q275" s="101">
        <f>$R$32*W14</f>
        <v>0</v>
      </c>
      <c r="R275" s="101">
        <f>$R$32*X14</f>
        <v>0</v>
      </c>
      <c r="S275" s="101">
        <f t="shared" si="72"/>
        <v>0</v>
      </c>
      <c r="T275" s="98" t="b">
        <f>S275=R32</f>
        <v>1</v>
      </c>
    </row>
    <row r="276" spans="2:20">
      <c r="B276" s="575" t="s">
        <v>141</v>
      </c>
      <c r="C276" s="575"/>
      <c r="D276" s="98" t="s">
        <v>36</v>
      </c>
      <c r="E276" s="101">
        <f>$N$33*U13</f>
        <v>1033.3399999999999</v>
      </c>
      <c r="F276" s="101">
        <f>$N$33*V13</f>
        <v>136.88399999999999</v>
      </c>
      <c r="G276" s="101">
        <f>$N$33*W13</f>
        <v>934.03199999999993</v>
      </c>
      <c r="H276" s="101">
        <f>$N$33*X13</f>
        <v>579.74400000000003</v>
      </c>
      <c r="I276" s="101">
        <f t="shared" si="71"/>
        <v>2684</v>
      </c>
      <c r="J276" s="98" t="b">
        <f>I276=N33</f>
        <v>1</v>
      </c>
      <c r="L276" s="575" t="s">
        <v>141</v>
      </c>
      <c r="M276" s="575"/>
      <c r="N276" s="98" t="s">
        <v>36</v>
      </c>
      <c r="O276" s="101">
        <f>$Q$33*U13</f>
        <v>1016.4</v>
      </c>
      <c r="P276" s="101">
        <f>$Q$33*V13</f>
        <v>134.63999999999999</v>
      </c>
      <c r="Q276" s="101">
        <f>$Q$33*W13</f>
        <v>918.71999999999991</v>
      </c>
      <c r="R276" s="101">
        <f>$Q$33*X13</f>
        <v>570.24</v>
      </c>
      <c r="S276" s="101">
        <f t="shared" si="72"/>
        <v>2640</v>
      </c>
      <c r="T276" s="98" t="b">
        <f>S276=Q33</f>
        <v>1</v>
      </c>
    </row>
    <row r="277" spans="2:20">
      <c r="B277" s="575"/>
      <c r="C277" s="575"/>
      <c r="D277" s="98" t="s">
        <v>37</v>
      </c>
      <c r="E277" s="101">
        <f>$O$33*U14</f>
        <v>0</v>
      </c>
      <c r="F277" s="101">
        <f>$O$33*V14</f>
        <v>0</v>
      </c>
      <c r="G277" s="101">
        <f>$O$33*W14</f>
        <v>0</v>
      </c>
      <c r="H277" s="101">
        <f>$O$33*X14</f>
        <v>0</v>
      </c>
      <c r="I277" s="101">
        <f t="shared" si="71"/>
        <v>0</v>
      </c>
      <c r="J277" s="98" t="b">
        <f>I277=O33</f>
        <v>1</v>
      </c>
      <c r="L277" s="575"/>
      <c r="M277" s="575"/>
      <c r="N277" s="98" t="s">
        <v>37</v>
      </c>
      <c r="O277" s="101">
        <f>$R$33*U14</f>
        <v>0</v>
      </c>
      <c r="P277" s="101">
        <f>$R$33*V14</f>
        <v>0</v>
      </c>
      <c r="Q277" s="101">
        <f>$R$33*W14</f>
        <v>0</v>
      </c>
      <c r="R277" s="101">
        <f>$R$33*X14</f>
        <v>0</v>
      </c>
      <c r="S277" s="101">
        <f t="shared" si="72"/>
        <v>0</v>
      </c>
      <c r="T277" s="98" t="b">
        <f>S277=R33</f>
        <v>1</v>
      </c>
    </row>
    <row r="278" spans="2:20">
      <c r="B278" s="575" t="s">
        <v>269</v>
      </c>
      <c r="C278" s="575" t="s">
        <v>14</v>
      </c>
      <c r="D278" s="98" t="s">
        <v>36</v>
      </c>
      <c r="E278" s="101">
        <f>$N$34*U15</f>
        <v>241.98399999999998</v>
      </c>
      <c r="F278" s="101">
        <f>$N$34*V15</f>
        <v>57.311999999999998</v>
      </c>
      <c r="G278" s="101">
        <f>$N$34*W15</f>
        <v>329.54399999999998</v>
      </c>
      <c r="H278" s="101">
        <f>$N$34*X15</f>
        <v>167.16</v>
      </c>
      <c r="I278" s="101">
        <f t="shared" si="71"/>
        <v>795.99999999999989</v>
      </c>
      <c r="J278" s="98" t="b">
        <f>I278=N34</f>
        <v>1</v>
      </c>
      <c r="L278" s="575" t="s">
        <v>269</v>
      </c>
      <c r="M278" s="575" t="s">
        <v>14</v>
      </c>
      <c r="N278" s="98" t="s">
        <v>36</v>
      </c>
      <c r="O278" s="101">
        <f>$Q$34*U15</f>
        <v>238.03199999999998</v>
      </c>
      <c r="P278" s="101">
        <f>$Q$34*V15</f>
        <v>56.375999999999998</v>
      </c>
      <c r="Q278" s="101">
        <f>$Q$34*W15</f>
        <v>324.16199999999998</v>
      </c>
      <c r="R278" s="101">
        <f>$Q$34*X15</f>
        <v>164.43</v>
      </c>
      <c r="S278" s="101">
        <f t="shared" si="72"/>
        <v>783</v>
      </c>
      <c r="T278" s="98" t="b">
        <f>S278=Q34</f>
        <v>1</v>
      </c>
    </row>
    <row r="279" spans="2:20">
      <c r="B279" s="575"/>
      <c r="C279" s="575"/>
      <c r="D279" s="98" t="s">
        <v>37</v>
      </c>
      <c r="E279" s="101">
        <f>$O$34*U16</f>
        <v>0</v>
      </c>
      <c r="F279" s="101">
        <f>$O$34*V16</f>
        <v>0</v>
      </c>
      <c r="G279" s="101">
        <f>$O$34*W16</f>
        <v>0</v>
      </c>
      <c r="H279" s="101">
        <f>$O$34*X16</f>
        <v>0</v>
      </c>
      <c r="I279" s="101">
        <f t="shared" si="71"/>
        <v>0</v>
      </c>
      <c r="J279" s="98" t="b">
        <f>I279=O34</f>
        <v>1</v>
      </c>
      <c r="L279" s="575"/>
      <c r="M279" s="575"/>
      <c r="N279" s="98" t="s">
        <v>37</v>
      </c>
      <c r="O279" s="101">
        <f>$R$34*U16</f>
        <v>0</v>
      </c>
      <c r="P279" s="101">
        <f>$R$34*V16</f>
        <v>0</v>
      </c>
      <c r="Q279" s="101">
        <f>$R$34*W16</f>
        <v>0</v>
      </c>
      <c r="R279" s="101">
        <f>$R$34*X16</f>
        <v>0</v>
      </c>
      <c r="S279" s="101">
        <f t="shared" si="72"/>
        <v>0</v>
      </c>
      <c r="T279" s="98" t="b">
        <f>S279=R34</f>
        <v>1</v>
      </c>
    </row>
    <row r="280" spans="2:20">
      <c r="B280" s="575"/>
      <c r="C280" s="575" t="s">
        <v>13</v>
      </c>
      <c r="D280" s="98" t="s">
        <v>36</v>
      </c>
      <c r="E280" s="101">
        <f>$N$35*U11</f>
        <v>160.34399999999999</v>
      </c>
      <c r="F280" s="101">
        <f>$N$35*V11</f>
        <v>45.9</v>
      </c>
      <c r="G280" s="101">
        <f>$N$35*W11</f>
        <v>365.976</v>
      </c>
      <c r="H280" s="101">
        <f>$N$35*X11</f>
        <v>39.78</v>
      </c>
      <c r="I280" s="101">
        <f t="shared" si="71"/>
        <v>612</v>
      </c>
      <c r="J280" s="98" t="b">
        <f>I280=N35</f>
        <v>1</v>
      </c>
      <c r="L280" s="575"/>
      <c r="M280" s="575" t="s">
        <v>13</v>
      </c>
      <c r="N280" s="98" t="s">
        <v>36</v>
      </c>
      <c r="O280" s="101">
        <f>$Q$35*U11</f>
        <v>157.72400000000002</v>
      </c>
      <c r="P280" s="101">
        <f>$Q$35*V11</f>
        <v>45.15</v>
      </c>
      <c r="Q280" s="101">
        <f>$Q$35*W11</f>
        <v>359.99599999999998</v>
      </c>
      <c r="R280" s="101">
        <f>$Q$35*X11</f>
        <v>39.130000000000003</v>
      </c>
      <c r="S280" s="101">
        <f t="shared" si="72"/>
        <v>602</v>
      </c>
      <c r="T280" s="98" t="b">
        <f>S280=Q35</f>
        <v>1</v>
      </c>
    </row>
    <row r="281" spans="2:20">
      <c r="B281" s="575"/>
      <c r="C281" s="575"/>
      <c r="D281" s="98" t="s">
        <v>37</v>
      </c>
      <c r="E281" s="101">
        <f>$O$35*U12</f>
        <v>0</v>
      </c>
      <c r="F281" s="101">
        <f>$O$35*V12</f>
        <v>0</v>
      </c>
      <c r="G281" s="101">
        <f>$O$35*W12</f>
        <v>0</v>
      </c>
      <c r="H281" s="101">
        <f>$O$35*X12</f>
        <v>0</v>
      </c>
      <c r="I281" s="101">
        <f t="shared" si="71"/>
        <v>0</v>
      </c>
      <c r="J281" s="98" t="b">
        <f>I281=O35</f>
        <v>1</v>
      </c>
      <c r="L281" s="575"/>
      <c r="M281" s="575"/>
      <c r="N281" s="98" t="s">
        <v>37</v>
      </c>
      <c r="O281" s="101">
        <f>$R$35*U12</f>
        <v>0</v>
      </c>
      <c r="P281" s="101">
        <f>$R$35*V12</f>
        <v>0</v>
      </c>
      <c r="Q281" s="101">
        <f>$R$35*W12</f>
        <v>0</v>
      </c>
      <c r="R281" s="101">
        <f>$R$35*X12</f>
        <v>0</v>
      </c>
      <c r="S281" s="101">
        <f t="shared" si="72"/>
        <v>0</v>
      </c>
      <c r="T281" s="98" t="b">
        <f>S281=R35</f>
        <v>1</v>
      </c>
    </row>
    <row r="282" spans="2:20">
      <c r="B282" s="575"/>
      <c r="C282" s="575" t="s">
        <v>23</v>
      </c>
      <c r="D282" s="98" t="s">
        <v>36</v>
      </c>
      <c r="E282" s="101">
        <f>$N$36*U17</f>
        <v>654.19799999999998</v>
      </c>
      <c r="F282" s="101">
        <f>$N$36*V17</f>
        <v>146.73599999999999</v>
      </c>
      <c r="G282" s="101">
        <f>$N$36*W17</f>
        <v>857.99799999999993</v>
      </c>
      <c r="H282" s="101">
        <f>$N$36*X17</f>
        <v>379.06799999999998</v>
      </c>
      <c r="I282" s="101">
        <f t="shared" si="71"/>
        <v>2037.9999999999998</v>
      </c>
      <c r="J282" s="98" t="b">
        <f>I282=N36</f>
        <v>1</v>
      </c>
      <c r="L282" s="575"/>
      <c r="M282" s="575" t="s">
        <v>23</v>
      </c>
      <c r="N282" s="98" t="s">
        <v>36</v>
      </c>
      <c r="O282" s="101">
        <f>$Q$36*U17</f>
        <v>643.60500000000002</v>
      </c>
      <c r="P282" s="101">
        <f>$Q$36*V17</f>
        <v>144.35999999999999</v>
      </c>
      <c r="Q282" s="101">
        <f>$Q$36*W17</f>
        <v>844.10500000000002</v>
      </c>
      <c r="R282" s="101">
        <f>$Q$36*X17</f>
        <v>372.93</v>
      </c>
      <c r="S282" s="101">
        <f t="shared" si="72"/>
        <v>2005.0000000000002</v>
      </c>
      <c r="T282" s="98" t="b">
        <f>S282=Q36</f>
        <v>1</v>
      </c>
    </row>
    <row r="283" spans="2:20">
      <c r="B283" s="575"/>
      <c r="C283" s="575"/>
      <c r="D283" s="98" t="s">
        <v>37</v>
      </c>
      <c r="E283" s="101">
        <f>$O$36*U18</f>
        <v>0</v>
      </c>
      <c r="F283" s="101">
        <f>$O$36*V18</f>
        <v>0</v>
      </c>
      <c r="G283" s="101">
        <f>$O$36*W18</f>
        <v>0</v>
      </c>
      <c r="H283" s="101">
        <f>$O$36*X18</f>
        <v>0</v>
      </c>
      <c r="I283" s="101">
        <f t="shared" si="71"/>
        <v>0</v>
      </c>
      <c r="J283" s="98" t="b">
        <f>I283=O36</f>
        <v>1</v>
      </c>
      <c r="L283" s="575"/>
      <c r="M283" s="575"/>
      <c r="N283" s="98" t="s">
        <v>37</v>
      </c>
      <c r="O283" s="101">
        <f>$R$36*U18</f>
        <v>0</v>
      </c>
      <c r="P283" s="101">
        <f>$R$36*V18</f>
        <v>0</v>
      </c>
      <c r="Q283" s="101">
        <f>$R$36*W18</f>
        <v>0</v>
      </c>
      <c r="R283" s="101">
        <f>$R$36*X18</f>
        <v>0</v>
      </c>
      <c r="S283" s="101">
        <f t="shared" si="72"/>
        <v>0</v>
      </c>
      <c r="T283" s="98" t="b">
        <f>S283=R36</f>
        <v>1</v>
      </c>
    </row>
    <row r="284" spans="2:20">
      <c r="B284" s="575" t="s">
        <v>144</v>
      </c>
      <c r="C284" s="575"/>
      <c r="D284" s="98" t="s">
        <v>36</v>
      </c>
      <c r="E284" s="101">
        <f>$N$37*U15</f>
        <v>331.66399999999999</v>
      </c>
      <c r="F284" s="101">
        <f>$N$37*V15</f>
        <v>78.551999999999992</v>
      </c>
      <c r="G284" s="101">
        <f>$N$37*W15</f>
        <v>451.67399999999998</v>
      </c>
      <c r="H284" s="101">
        <f>$N$37*X15</f>
        <v>229.10999999999999</v>
      </c>
      <c r="I284" s="101">
        <f t="shared" si="71"/>
        <v>1091</v>
      </c>
      <c r="J284" s="98" t="b">
        <f>I284=N37</f>
        <v>1</v>
      </c>
      <c r="L284" s="575" t="s">
        <v>144</v>
      </c>
      <c r="M284" s="575"/>
      <c r="N284" s="98" t="s">
        <v>36</v>
      </c>
      <c r="O284" s="101">
        <f>$Q$37*U15</f>
        <v>326.19200000000001</v>
      </c>
      <c r="P284" s="101">
        <f>$Q$37*V15</f>
        <v>77.256</v>
      </c>
      <c r="Q284" s="101">
        <f>$Q$37*W15</f>
        <v>444.22199999999998</v>
      </c>
      <c r="R284" s="101">
        <f>$Q$37*X15</f>
        <v>225.32999999999998</v>
      </c>
      <c r="S284" s="101">
        <f t="shared" si="72"/>
        <v>1073</v>
      </c>
      <c r="T284" s="98" t="b">
        <f>S284=Q37</f>
        <v>1</v>
      </c>
    </row>
    <row r="285" spans="2:20">
      <c r="B285" s="575"/>
      <c r="C285" s="575"/>
      <c r="D285" s="98" t="s">
        <v>37</v>
      </c>
      <c r="E285" s="101">
        <f>$O$37*U16</f>
        <v>0</v>
      </c>
      <c r="F285" s="101">
        <f>$O$37*V16</f>
        <v>0</v>
      </c>
      <c r="G285" s="101">
        <f>$O$37*W16</f>
        <v>0</v>
      </c>
      <c r="H285" s="101">
        <f>$O$37*X16</f>
        <v>0</v>
      </c>
      <c r="I285" s="101">
        <f t="shared" si="71"/>
        <v>0</v>
      </c>
      <c r="J285" s="98" t="b">
        <f>I285=O37</f>
        <v>1</v>
      </c>
      <c r="L285" s="575"/>
      <c r="M285" s="575"/>
      <c r="N285" s="98" t="s">
        <v>37</v>
      </c>
      <c r="O285" s="101">
        <f>$R$37*U16</f>
        <v>0</v>
      </c>
      <c r="P285" s="101">
        <f>$R$37*V16</f>
        <v>0</v>
      </c>
      <c r="Q285" s="101">
        <f>$R$37*W16</f>
        <v>0</v>
      </c>
      <c r="R285" s="101">
        <f>$R$37*X16</f>
        <v>0</v>
      </c>
      <c r="S285" s="101">
        <f t="shared" si="72"/>
        <v>0</v>
      </c>
      <c r="T285" s="98" t="b">
        <f>S285=R37</f>
        <v>1</v>
      </c>
    </row>
    <row r="286" spans="2:20">
      <c r="B286" s="575" t="s">
        <v>270</v>
      </c>
      <c r="C286" s="575"/>
      <c r="D286" s="98" t="s">
        <v>36</v>
      </c>
      <c r="E286" s="101">
        <f>$N$38*U11</f>
        <v>90.128</v>
      </c>
      <c r="F286" s="101">
        <f>$N$38*V11</f>
        <v>25.8</v>
      </c>
      <c r="G286" s="101">
        <f>$N$38*W11</f>
        <v>205.71199999999999</v>
      </c>
      <c r="H286" s="101">
        <f>$N$38*X11</f>
        <v>22.36</v>
      </c>
      <c r="I286" s="101">
        <f t="shared" si="71"/>
        <v>344</v>
      </c>
      <c r="J286" s="98" t="b">
        <f>I286=N38</f>
        <v>1</v>
      </c>
      <c r="L286" s="575" t="s">
        <v>270</v>
      </c>
      <c r="M286" s="575"/>
      <c r="N286" s="98" t="s">
        <v>36</v>
      </c>
      <c r="O286" s="101">
        <f>$Q$38*U11</f>
        <v>88.555999999999997</v>
      </c>
      <c r="P286" s="101">
        <f>$Q$38*V11</f>
        <v>25.349999999999998</v>
      </c>
      <c r="Q286" s="101">
        <f>$Q$38*W11</f>
        <v>202.124</v>
      </c>
      <c r="R286" s="101">
        <f>$Q$38*X11</f>
        <v>21.970000000000002</v>
      </c>
      <c r="S286" s="101">
        <f t="shared" si="72"/>
        <v>338</v>
      </c>
      <c r="T286" s="98" t="b">
        <f>S286=Q38</f>
        <v>1</v>
      </c>
    </row>
    <row r="287" spans="2:20">
      <c r="B287" s="575"/>
      <c r="C287" s="575"/>
      <c r="D287" s="98" t="s">
        <v>37</v>
      </c>
      <c r="E287" s="101">
        <f>$O$38*U12</f>
        <v>0</v>
      </c>
      <c r="F287" s="101">
        <f>$O$38*V12</f>
        <v>0</v>
      </c>
      <c r="G287" s="101">
        <f>$O$38*W12</f>
        <v>0</v>
      </c>
      <c r="H287" s="101">
        <f>$O$38*X12</f>
        <v>0</v>
      </c>
      <c r="I287" s="101">
        <f t="shared" si="71"/>
        <v>0</v>
      </c>
      <c r="J287" s="98" t="b">
        <f>I287=O38</f>
        <v>1</v>
      </c>
      <c r="L287" s="575"/>
      <c r="M287" s="575"/>
      <c r="N287" s="98" t="s">
        <v>37</v>
      </c>
      <c r="O287" s="101">
        <f>$R$38*U12</f>
        <v>0</v>
      </c>
      <c r="P287" s="101">
        <f>$R$38*V12</f>
        <v>0</v>
      </c>
      <c r="Q287" s="101">
        <f>$R$38*W12</f>
        <v>0</v>
      </c>
      <c r="R287" s="101">
        <f>$R$38*X12</f>
        <v>0</v>
      </c>
      <c r="S287" s="101">
        <f t="shared" si="72"/>
        <v>0</v>
      </c>
      <c r="T287" s="98" t="b">
        <f>S287=R38</f>
        <v>1</v>
      </c>
    </row>
    <row r="291" spans="2:17" ht="23">
      <c r="B291" s="102" t="s">
        <v>355</v>
      </c>
      <c r="L291" s="102" t="s">
        <v>356</v>
      </c>
    </row>
    <row r="293" spans="2:17">
      <c r="G293" t="s">
        <v>277</v>
      </c>
    </row>
    <row r="294" spans="2:17">
      <c r="C294" s="580" t="s">
        <v>27</v>
      </c>
      <c r="D294" s="580"/>
      <c r="E294" s="160" t="s">
        <v>261</v>
      </c>
      <c r="F294" s="160" t="s">
        <v>262</v>
      </c>
      <c r="G294" s="160" t="s">
        <v>263</v>
      </c>
      <c r="I294" s="100" t="s">
        <v>264</v>
      </c>
      <c r="J294" s="100" t="s">
        <v>265</v>
      </c>
      <c r="M294" s="580" t="s">
        <v>27</v>
      </c>
      <c r="N294" s="580"/>
      <c r="O294" s="160" t="s">
        <v>261</v>
      </c>
      <c r="P294" s="160" t="s">
        <v>262</v>
      </c>
      <c r="Q294" s="160" t="s">
        <v>263</v>
      </c>
    </row>
    <row r="295" spans="2:17">
      <c r="C295" s="574" t="s">
        <v>135</v>
      </c>
      <c r="D295" s="574"/>
      <c r="E295" s="161"/>
      <c r="F295" s="161"/>
      <c r="G295" s="161"/>
      <c r="I295" s="98"/>
      <c r="J295" s="98"/>
      <c r="M295" s="574" t="s">
        <v>135</v>
      </c>
      <c r="N295" s="574"/>
      <c r="O295" s="161"/>
      <c r="P295" s="161"/>
      <c r="Q295" s="161"/>
    </row>
    <row r="296" spans="2:17">
      <c r="C296" s="574" t="s">
        <v>136</v>
      </c>
      <c r="D296" s="574"/>
      <c r="E296" s="162">
        <f>SUM(E$268:E$269)/$L$7</f>
        <v>25.642553191489363</v>
      </c>
      <c r="F296" s="162">
        <f>SUM(F$268:F$269)/$M$7</f>
        <v>6.8999999999999995</v>
      </c>
      <c r="G296" s="162">
        <f>SUM(G$268:G$269)/$O$7</f>
        <v>2.8664119485932615</v>
      </c>
      <c r="I296" s="98"/>
      <c r="J296" s="98"/>
      <c r="M296" s="574" t="s">
        <v>136</v>
      </c>
      <c r="N296" s="574"/>
      <c r="O296" s="162">
        <f>SUM(O$268:O$269)/$L$7</f>
        <v>25.085106382978729</v>
      </c>
      <c r="P296" s="162">
        <f>SUM(P$268:P$269)/$M$7</f>
        <v>6.75</v>
      </c>
      <c r="Q296" s="162">
        <f>SUM(Q$268:Q$269)/$O$7</f>
        <v>2.804098645362973</v>
      </c>
    </row>
    <row r="297" spans="2:17">
      <c r="C297" s="574" t="s">
        <v>137</v>
      </c>
      <c r="D297" s="574"/>
      <c r="E297" s="162">
        <f>SUM(E$270:E$271)/$L$7</f>
        <v>221.63971631205675</v>
      </c>
      <c r="F297" s="162">
        <f>SUM(F$270:F$271)/$M$7</f>
        <v>49.343999999999994</v>
      </c>
      <c r="G297" s="162">
        <f>SUM(G$270:G$271)/$O$7</f>
        <v>14.782632858631469</v>
      </c>
      <c r="I297" s="98"/>
      <c r="J297" s="98"/>
      <c r="M297" s="574" t="s">
        <v>137</v>
      </c>
      <c r="N297" s="574"/>
      <c r="O297" s="162">
        <f>SUM(O$270:O$271)/$L$7</f>
        <v>217.97446808510639</v>
      </c>
      <c r="P297" s="162">
        <f>SUM(P$270:P$271)/$M$7</f>
        <v>48.527999999999999</v>
      </c>
      <c r="Q297" s="162">
        <f>SUM(Q$270:Q$271)/$O$7</f>
        <v>14.538172976728029</v>
      </c>
    </row>
    <row r="298" spans="2:17">
      <c r="C298" s="574" t="s">
        <v>139</v>
      </c>
      <c r="D298" s="574"/>
      <c r="E298" s="162">
        <f>SUM(E$272:E$273)/$L$7</f>
        <v>7920.3510638297876</v>
      </c>
      <c r="F298" s="162">
        <f>SUM(F$272:F$273)/$M$7</f>
        <v>986.23799999999994</v>
      </c>
      <c r="G298" s="162">
        <f>SUM(G$272:G$273)/$O$7</f>
        <v>350.62299409517192</v>
      </c>
      <c r="I298" s="98"/>
      <c r="J298" s="98"/>
      <c r="M298" s="574" t="s">
        <v>139</v>
      </c>
      <c r="N298" s="574"/>
      <c r="O298" s="162">
        <f>SUM(O$272:O$273)/$L$7</f>
        <v>7790.6524822695037</v>
      </c>
      <c r="P298" s="162">
        <f>SUM(P$272:P$273)/$M$7</f>
        <v>970.08799999999985</v>
      </c>
      <c r="Q298" s="162">
        <f>SUM(Q$272:Q$273)/$O$7</f>
        <v>344.88141715873564</v>
      </c>
    </row>
    <row r="299" spans="2:17">
      <c r="C299" s="574" t="s">
        <v>43</v>
      </c>
      <c r="D299" s="574"/>
      <c r="E299" s="162">
        <f>SUM(E$274:E$275)/$L$7</f>
        <v>858.46808510638311</v>
      </c>
      <c r="F299" s="162">
        <f>SUM(F$274:F$275)/$M$7</f>
        <v>106.896</v>
      </c>
      <c r="G299" s="162">
        <f>SUM(G$274:G$275)/$O$7</f>
        <v>38.003195554011803</v>
      </c>
      <c r="I299" s="98"/>
      <c r="J299" s="98"/>
      <c r="M299" s="574" t="s">
        <v>43</v>
      </c>
      <c r="N299" s="574"/>
      <c r="O299" s="162">
        <f>SUM(O$274:O$275)/$L$7</f>
        <v>844.26950354609937</v>
      </c>
      <c r="P299" s="162">
        <f>SUM(P$274:P$275)/$M$7</f>
        <v>105.12799999999999</v>
      </c>
      <c r="Q299" s="162">
        <f>SUM(Q$274:Q$275)/$O$7</f>
        <v>37.374643973601941</v>
      </c>
    </row>
    <row r="300" spans="2:17">
      <c r="C300" s="574" t="s">
        <v>141</v>
      </c>
      <c r="D300" s="574"/>
      <c r="E300" s="162">
        <f>SUM(E$276:E$277)/$L$7</f>
        <v>732.86524822695037</v>
      </c>
      <c r="F300" s="162">
        <f>SUM(F$276:F$277)/$M$7</f>
        <v>91.255999999999986</v>
      </c>
      <c r="G300" s="162">
        <f>SUM(G$276:G$277)/$O$7</f>
        <v>32.442931573463007</v>
      </c>
      <c r="I300" s="98"/>
      <c r="J300" s="98"/>
      <c r="M300" s="574" t="s">
        <v>141</v>
      </c>
      <c r="N300" s="574"/>
      <c r="O300" s="162">
        <f>SUM(O$276:O$277)/$L$7</f>
        <v>720.85106382978722</v>
      </c>
      <c r="P300" s="162">
        <f>SUM(P$276:P$277)/$M$7</f>
        <v>89.759999999999991</v>
      </c>
      <c r="Q300" s="162">
        <f>SUM(Q$276:Q$277)/$O$7</f>
        <v>31.911080236193122</v>
      </c>
    </row>
    <row r="301" spans="2:17">
      <c r="C301" s="191" t="s">
        <v>142</v>
      </c>
      <c r="D301" s="191" t="s">
        <v>21</v>
      </c>
      <c r="E301" s="162"/>
      <c r="F301" s="162"/>
      <c r="G301" s="162"/>
      <c r="I301" s="98"/>
      <c r="J301" s="98"/>
      <c r="M301" s="191" t="s">
        <v>142</v>
      </c>
      <c r="N301" s="191" t="s">
        <v>21</v>
      </c>
      <c r="O301" s="162"/>
      <c r="P301" s="162"/>
      <c r="Q301" s="162"/>
    </row>
    <row r="302" spans="2:17">
      <c r="C302" s="191" t="s">
        <v>19</v>
      </c>
      <c r="D302" s="191" t="s">
        <v>14</v>
      </c>
      <c r="E302" s="162">
        <f>SUM(E$278:E$279)/$L$7</f>
        <v>171.61985815602836</v>
      </c>
      <c r="F302" s="162">
        <f>SUM(F$278:F$279)/$M$7</f>
        <v>38.207999999999998</v>
      </c>
      <c r="G302" s="162">
        <f>SUM(G$278:G$279)/$O$7</f>
        <v>11.446474470302189</v>
      </c>
      <c r="I302" s="98"/>
      <c r="J302" s="98"/>
      <c r="M302" s="191" t="s">
        <v>19</v>
      </c>
      <c r="N302" s="191" t="s">
        <v>14</v>
      </c>
      <c r="O302" s="162">
        <f>SUM(O$278:O$279)/$L$7</f>
        <v>168.81702127659574</v>
      </c>
      <c r="P302" s="162">
        <f>SUM(P$278:P$279)/$M$7</f>
        <v>37.583999999999996</v>
      </c>
      <c r="Q302" s="162">
        <f>SUM(Q$278:Q$279)/$O$7</f>
        <v>11.259534560611323</v>
      </c>
    </row>
    <row r="303" spans="2:17" ht="25">
      <c r="C303" s="191" t="s">
        <v>20</v>
      </c>
      <c r="D303" s="191" t="s">
        <v>13</v>
      </c>
      <c r="E303" s="162">
        <f>SUM(E$280:E$281)/$L$7</f>
        <v>113.71914893617021</v>
      </c>
      <c r="F303" s="162">
        <f>SUM(F$280:F$281)/$M$7</f>
        <v>30.599999999999998</v>
      </c>
      <c r="G303" s="162">
        <f>SUM(G$280:G$281)/$O$7</f>
        <v>12.711913858978813</v>
      </c>
      <c r="I303" s="98"/>
      <c r="J303" s="98"/>
      <c r="M303" s="191" t="s">
        <v>20</v>
      </c>
      <c r="N303" s="191" t="s">
        <v>13</v>
      </c>
      <c r="O303" s="162">
        <f>SUM(O$280:O$281)/$L$7</f>
        <v>111.86099290780143</v>
      </c>
      <c r="P303" s="162">
        <f>SUM(P$280:P$281)/$M$7</f>
        <v>30.099999999999998</v>
      </c>
      <c r="Q303" s="162">
        <f>SUM(Q$280:Q$281)/$O$7</f>
        <v>12.504202848211184</v>
      </c>
    </row>
    <row r="304" spans="2:17">
      <c r="C304" s="104"/>
      <c r="D304" s="191" t="s">
        <v>23</v>
      </c>
      <c r="E304" s="162">
        <f>SUM(E$282:E$283)/$L$7</f>
        <v>463.97021276595746</v>
      </c>
      <c r="F304" s="162">
        <f>SUM(F$282:F$283)/$M$7</f>
        <v>97.823999999999998</v>
      </c>
      <c r="G304" s="162">
        <f>SUM(G$282:G$283)/$O$7</f>
        <v>29.801945119833274</v>
      </c>
      <c r="I304" s="98"/>
      <c r="J304" s="98"/>
      <c r="M304" s="104"/>
      <c r="N304" s="191" t="s">
        <v>23</v>
      </c>
      <c r="O304" s="162">
        <f>SUM(O$282:O$283)/$L$7</f>
        <v>456.45744680851067</v>
      </c>
      <c r="P304" s="162">
        <f>SUM(P$282:P$283)/$M$7</f>
        <v>96.24</v>
      </c>
      <c r="Q304" s="162">
        <f>SUM(Q$282:Q$283)/$O$7</f>
        <v>29.319381729767283</v>
      </c>
    </row>
    <row r="305" spans="3:17">
      <c r="C305" s="574" t="s">
        <v>144</v>
      </c>
      <c r="D305" s="574"/>
      <c r="E305" s="162">
        <f>SUM(E$284:E$285)/$L$7</f>
        <v>235.22269503546099</v>
      </c>
      <c r="F305" s="162">
        <f>SUM(F$284:F$285)/$M$7</f>
        <v>52.367999999999995</v>
      </c>
      <c r="G305" s="162">
        <f>SUM(G$284:G$285)/$O$7</f>
        <v>15.688572420979506</v>
      </c>
      <c r="I305" s="98"/>
      <c r="J305" s="98"/>
      <c r="M305" s="574" t="s">
        <v>144</v>
      </c>
      <c r="N305" s="574"/>
      <c r="O305" s="162">
        <f>SUM(O$284:O$285)/$L$7</f>
        <v>231.34184397163122</v>
      </c>
      <c r="P305" s="162">
        <f>SUM(P$284:P$285)/$M$7</f>
        <v>51.503999999999998</v>
      </c>
      <c r="Q305" s="162">
        <f>SUM(Q$284:Q$285)/$O$7</f>
        <v>15.429732546022924</v>
      </c>
    </row>
    <row r="306" spans="3:17">
      <c r="C306" s="574" t="s">
        <v>145</v>
      </c>
      <c r="D306" s="574"/>
      <c r="E306" s="162">
        <f>SUM(E$286:E$287)/$L$7</f>
        <v>63.920567375886527</v>
      </c>
      <c r="F306" s="162">
        <f>SUM(F$286:F$287)/$M$7</f>
        <v>17.2</v>
      </c>
      <c r="G306" s="162">
        <f>SUM(G$286:G$287)/$O$7</f>
        <v>7.1452587704063912</v>
      </c>
      <c r="I306" s="98"/>
      <c r="J306" s="98"/>
      <c r="M306" s="574" t="s">
        <v>145</v>
      </c>
      <c r="N306" s="574"/>
      <c r="O306" s="162">
        <f>SUM(O$286:O$287)/$L$7</f>
        <v>62.805673758865247</v>
      </c>
      <c r="P306" s="162">
        <f>SUM(P$286:P$287)/$M$7</f>
        <v>16.899999999999999</v>
      </c>
      <c r="Q306" s="162">
        <f>SUM(Q$286:Q$287)/$O$7</f>
        <v>7.0206321639458142</v>
      </c>
    </row>
    <row r="307" spans="3:17">
      <c r="C307" s="574" t="s">
        <v>26</v>
      </c>
      <c r="D307" s="574"/>
      <c r="E307" s="161"/>
      <c r="F307" s="161"/>
      <c r="G307" s="161"/>
      <c r="I307" s="98"/>
      <c r="J307" s="98"/>
      <c r="M307" s="574" t="s">
        <v>26</v>
      </c>
      <c r="N307" s="574"/>
      <c r="O307" s="161"/>
      <c r="P307" s="161"/>
      <c r="Q307" s="161"/>
    </row>
  </sheetData>
  <mergeCells count="145">
    <mergeCell ref="DR93:DU93"/>
    <mergeCell ref="AF7:AG9"/>
    <mergeCell ref="AI7:AN7"/>
    <mergeCell ref="AI8:AK8"/>
    <mergeCell ref="AL8:AN8"/>
    <mergeCell ref="A9:B9"/>
    <mergeCell ref="A10:B10"/>
    <mergeCell ref="AF10:AG10"/>
    <mergeCell ref="A6:B8"/>
    <mergeCell ref="D6:E6"/>
    <mergeCell ref="F6:H6"/>
    <mergeCell ref="S6:T6"/>
    <mergeCell ref="D7:E7"/>
    <mergeCell ref="F7:H7"/>
    <mergeCell ref="S7:S10"/>
    <mergeCell ref="S15:S16"/>
    <mergeCell ref="AF15:AG15"/>
    <mergeCell ref="S17:S18"/>
    <mergeCell ref="A19:B19"/>
    <mergeCell ref="A20:B20"/>
    <mergeCell ref="AF20:AG20"/>
    <mergeCell ref="A11:B11"/>
    <mergeCell ref="S11:S12"/>
    <mergeCell ref="AF11:AG11"/>
    <mergeCell ref="A12:B12"/>
    <mergeCell ref="AF12:AG12"/>
    <mergeCell ref="A13:B13"/>
    <mergeCell ref="S13:S14"/>
    <mergeCell ref="AF13:AG13"/>
    <mergeCell ref="A14:B14"/>
    <mergeCell ref="AF14:AG14"/>
    <mergeCell ref="Q26:S26"/>
    <mergeCell ref="A28:B28"/>
    <mergeCell ref="K28:L28"/>
    <mergeCell ref="A21:B21"/>
    <mergeCell ref="AF21:AG21"/>
    <mergeCell ref="AF22:AG22"/>
    <mergeCell ref="A25:B27"/>
    <mergeCell ref="D25:I25"/>
    <mergeCell ref="K25:L27"/>
    <mergeCell ref="N25:S25"/>
    <mergeCell ref="D26:F26"/>
    <mergeCell ref="G26:I26"/>
    <mergeCell ref="N26:P26"/>
    <mergeCell ref="M93:Z93"/>
    <mergeCell ref="B177:B178"/>
    <mergeCell ref="C177:D177"/>
    <mergeCell ref="E177:F177"/>
    <mergeCell ref="G177:H177"/>
    <mergeCell ref="A29:B29"/>
    <mergeCell ref="K29:L29"/>
    <mergeCell ref="A30:B30"/>
    <mergeCell ref="K30:L30"/>
    <mergeCell ref="A37:B37"/>
    <mergeCell ref="K37:L37"/>
    <mergeCell ref="A38:B38"/>
    <mergeCell ref="K38:L38"/>
    <mergeCell ref="A39:B39"/>
    <mergeCell ref="K39:L39"/>
    <mergeCell ref="A31:B31"/>
    <mergeCell ref="K31:L31"/>
    <mergeCell ref="A32:B32"/>
    <mergeCell ref="K32:L32"/>
    <mergeCell ref="A33:B33"/>
    <mergeCell ref="K33:L33"/>
    <mergeCell ref="X170:X171"/>
    <mergeCell ref="S173:S174"/>
    <mergeCell ref="U173:U174"/>
    <mergeCell ref="V173:V174"/>
    <mergeCell ref="W173:W174"/>
    <mergeCell ref="X173:X174"/>
    <mergeCell ref="C300:D300"/>
    <mergeCell ref="M300:N300"/>
    <mergeCell ref="C305:D305"/>
    <mergeCell ref="M305:N305"/>
    <mergeCell ref="C297:D297"/>
    <mergeCell ref="M297:N297"/>
    <mergeCell ref="C298:D298"/>
    <mergeCell ref="M298:N298"/>
    <mergeCell ref="C299:D299"/>
    <mergeCell ref="M299:N299"/>
    <mergeCell ref="B268:C269"/>
    <mergeCell ref="L268:M269"/>
    <mergeCell ref="B270:C271"/>
    <mergeCell ref="L270:M271"/>
    <mergeCell ref="B272:C273"/>
    <mergeCell ref="L272:M273"/>
    <mergeCell ref="B265:C265"/>
    <mergeCell ref="L265:M265"/>
    <mergeCell ref="S170:T171"/>
    <mergeCell ref="C294:D294"/>
    <mergeCell ref="M294:N294"/>
    <mergeCell ref="C295:D295"/>
    <mergeCell ref="M295:N295"/>
    <mergeCell ref="C296:D296"/>
    <mergeCell ref="M296:N296"/>
    <mergeCell ref="C282:C283"/>
    <mergeCell ref="M282:M283"/>
    <mergeCell ref="B266:C267"/>
    <mergeCell ref="E266:I267"/>
    <mergeCell ref="L266:M267"/>
    <mergeCell ref="O266:R267"/>
    <mergeCell ref="I177:K177"/>
    <mergeCell ref="C307:D307"/>
    <mergeCell ref="M307:N307"/>
    <mergeCell ref="B284:C285"/>
    <mergeCell ref="L284:M285"/>
    <mergeCell ref="B286:C287"/>
    <mergeCell ref="L286:M287"/>
    <mergeCell ref="B274:C275"/>
    <mergeCell ref="L274:M275"/>
    <mergeCell ref="B276:C277"/>
    <mergeCell ref="L276:M277"/>
    <mergeCell ref="B278:B283"/>
    <mergeCell ref="C278:C279"/>
    <mergeCell ref="L278:L283"/>
    <mergeCell ref="M278:M279"/>
    <mergeCell ref="C280:C281"/>
    <mergeCell ref="M280:M281"/>
    <mergeCell ref="C306:D306"/>
    <mergeCell ref="M306:N306"/>
    <mergeCell ref="DY43:DZ43"/>
    <mergeCell ref="DY93:DZ93"/>
    <mergeCell ref="BC43:BP43"/>
    <mergeCell ref="BQ43:CD43"/>
    <mergeCell ref="CE43:CR43"/>
    <mergeCell ref="M43:Z43"/>
    <mergeCell ref="AA43:AN43"/>
    <mergeCell ref="AO43:BB43"/>
    <mergeCell ref="AA93:AN93"/>
    <mergeCell ref="AO93:BB93"/>
    <mergeCell ref="BC93:BP93"/>
    <mergeCell ref="BQ93:CD93"/>
    <mergeCell ref="CE93:CR93"/>
    <mergeCell ref="CX43:DA43"/>
    <mergeCell ref="DB43:DE43"/>
    <mergeCell ref="DF43:DI43"/>
    <mergeCell ref="DJ43:DM43"/>
    <mergeCell ref="DR43:DU43"/>
    <mergeCell ref="CX93:DA93"/>
    <mergeCell ref="DB93:DE93"/>
    <mergeCell ref="DF93:DI93"/>
    <mergeCell ref="DJ93:DM93"/>
    <mergeCell ref="DN93:DQ93"/>
    <mergeCell ref="DN43:DQ43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P21"/>
  <sheetViews>
    <sheetView workbookViewId="0">
      <selection activeCell="H15" sqref="H15"/>
    </sheetView>
  </sheetViews>
  <sheetFormatPr defaultRowHeight="17"/>
  <cols>
    <col min="2" max="14" width="10.6640625" bestFit="1" customWidth="1"/>
  </cols>
  <sheetData>
    <row r="1" spans="1:16">
      <c r="A1" s="631" t="s">
        <v>434</v>
      </c>
      <c r="B1" s="223"/>
      <c r="C1" s="631" t="s">
        <v>435</v>
      </c>
      <c r="D1" s="631" t="s">
        <v>436</v>
      </c>
      <c r="E1" s="631" t="s">
        <v>437</v>
      </c>
      <c r="F1" s="631"/>
      <c r="G1" s="631"/>
      <c r="H1" s="631"/>
      <c r="I1" s="631"/>
      <c r="J1" s="631" t="s">
        <v>438</v>
      </c>
      <c r="K1" s="631"/>
      <c r="L1" s="631" t="s">
        <v>157</v>
      </c>
      <c r="M1" s="631" t="s">
        <v>439</v>
      </c>
      <c r="N1" s="631" t="s">
        <v>440</v>
      </c>
      <c r="O1" s="631" t="s">
        <v>441</v>
      </c>
      <c r="P1" s="631" t="s">
        <v>442</v>
      </c>
    </row>
    <row r="2" spans="1:16">
      <c r="A2" s="631"/>
      <c r="B2" s="223"/>
      <c r="C2" s="631"/>
      <c r="D2" s="631"/>
      <c r="E2" s="224" t="s">
        <v>443</v>
      </c>
      <c r="F2" s="224" t="s">
        <v>444</v>
      </c>
      <c r="G2" s="224" t="s">
        <v>445</v>
      </c>
      <c r="H2" s="224" t="s">
        <v>446</v>
      </c>
      <c r="I2" s="224" t="s">
        <v>447</v>
      </c>
      <c r="J2" s="224" t="s">
        <v>448</v>
      </c>
      <c r="K2" s="224" t="s">
        <v>449</v>
      </c>
      <c r="L2" s="631"/>
      <c r="M2" s="631"/>
      <c r="N2" s="631"/>
      <c r="O2" s="631"/>
      <c r="P2" s="631"/>
    </row>
    <row r="3" spans="1:16">
      <c r="A3" s="224" t="s">
        <v>452</v>
      </c>
      <c r="B3" s="198" t="s">
        <v>427</v>
      </c>
      <c r="C3" s="229">
        <f>ROUND(B14,4)*100</f>
        <v>0.27999999999999997</v>
      </c>
      <c r="D3" s="229">
        <f t="shared" ref="D3:O3" si="0">ROUND(C14,4)*100</f>
        <v>47.03</v>
      </c>
      <c r="E3" s="229">
        <f t="shared" si="0"/>
        <v>5.6899999999999995</v>
      </c>
      <c r="F3" s="229">
        <f t="shared" si="0"/>
        <v>9.17</v>
      </c>
      <c r="G3" s="229">
        <f t="shared" si="0"/>
        <v>0.91999999999999993</v>
      </c>
      <c r="H3" s="229">
        <f t="shared" si="0"/>
        <v>0.01</v>
      </c>
      <c r="I3" s="229">
        <f t="shared" si="0"/>
        <v>2.78</v>
      </c>
      <c r="J3" s="229">
        <f t="shared" si="0"/>
        <v>30.44</v>
      </c>
      <c r="K3" s="229">
        <f t="shared" si="0"/>
        <v>0.15</v>
      </c>
      <c r="L3" s="229">
        <f t="shared" si="0"/>
        <v>3.02</v>
      </c>
      <c r="M3" s="229">
        <f t="shared" si="0"/>
        <v>0.22999999999999998</v>
      </c>
      <c r="N3" s="229">
        <f t="shared" si="0"/>
        <v>0.1</v>
      </c>
      <c r="O3" s="229">
        <f t="shared" si="0"/>
        <v>0.18</v>
      </c>
      <c r="P3" s="229">
        <f>SUM(C3:O3)</f>
        <v>100</v>
      </c>
    </row>
    <row r="4" spans="1:16">
      <c r="A4" s="224" t="s">
        <v>450</v>
      </c>
      <c r="B4" s="224" t="s">
        <v>456</v>
      </c>
      <c r="C4" s="229">
        <f t="shared" ref="C4:O4" si="1">ROUND(B15,4)*100</f>
        <v>30.44</v>
      </c>
      <c r="D4" s="229">
        <f t="shared" si="1"/>
        <v>32.07</v>
      </c>
      <c r="E4" s="229">
        <f t="shared" si="1"/>
        <v>7.7700000000000005</v>
      </c>
      <c r="F4" s="229">
        <f t="shared" si="1"/>
        <v>0.95</v>
      </c>
      <c r="G4" s="229">
        <f t="shared" si="1"/>
        <v>11.709999999999999</v>
      </c>
      <c r="H4" s="229">
        <f t="shared" si="1"/>
        <v>0</v>
      </c>
      <c r="I4" s="229">
        <f t="shared" si="1"/>
        <v>3.4799999999999995</v>
      </c>
      <c r="J4" s="229">
        <f t="shared" si="1"/>
        <v>4.71</v>
      </c>
      <c r="K4" s="229">
        <f t="shared" si="1"/>
        <v>0</v>
      </c>
      <c r="L4" s="229">
        <f t="shared" si="1"/>
        <v>4.62</v>
      </c>
      <c r="M4" s="229">
        <f t="shared" si="1"/>
        <v>0.67</v>
      </c>
      <c r="N4" s="229">
        <f t="shared" si="1"/>
        <v>2.5</v>
      </c>
      <c r="O4" s="229">
        <f t="shared" si="1"/>
        <v>1.08</v>
      </c>
      <c r="P4" s="229">
        <f>SUM(C4:O4)</f>
        <v>100</v>
      </c>
    </row>
    <row r="5" spans="1:16">
      <c r="A5" s="224" t="s">
        <v>451</v>
      </c>
      <c r="B5" s="198" t="s">
        <v>429</v>
      </c>
      <c r="C5" s="229">
        <f t="shared" ref="C5:O5" si="2">ROUND(B16,4)*100</f>
        <v>0.06</v>
      </c>
      <c r="D5" s="229">
        <f t="shared" si="2"/>
        <v>73.28</v>
      </c>
      <c r="E5" s="229">
        <f t="shared" si="2"/>
        <v>9.85</v>
      </c>
      <c r="F5" s="229">
        <f t="shared" si="2"/>
        <v>2.1</v>
      </c>
      <c r="G5" s="229">
        <f t="shared" si="2"/>
        <v>0.65</v>
      </c>
      <c r="H5" s="229">
        <f t="shared" si="2"/>
        <v>6.9999999999999993E-2</v>
      </c>
      <c r="I5" s="229">
        <f t="shared" si="2"/>
        <v>2.77</v>
      </c>
      <c r="J5" s="229">
        <f t="shared" si="2"/>
        <v>6.2700000000000005</v>
      </c>
      <c r="K5" s="229">
        <f t="shared" si="2"/>
        <v>0.02</v>
      </c>
      <c r="L5" s="229">
        <f t="shared" si="2"/>
        <v>2.5499999999999998</v>
      </c>
      <c r="M5" s="229">
        <f t="shared" si="2"/>
        <v>0.67</v>
      </c>
      <c r="N5" s="229">
        <f t="shared" si="2"/>
        <v>0.16999999999999998</v>
      </c>
      <c r="O5" s="229">
        <f t="shared" si="2"/>
        <v>1.54</v>
      </c>
      <c r="P5" s="229">
        <f t="shared" ref="P5:P8" si="3">SUM(C5:O5)</f>
        <v>99.999999999999986</v>
      </c>
    </row>
    <row r="6" spans="1:16">
      <c r="A6" s="224" t="s">
        <v>453</v>
      </c>
      <c r="B6" s="198" t="s">
        <v>430</v>
      </c>
      <c r="C6" s="229">
        <f t="shared" ref="C6:O6" si="4">ROUND(B17,4)*100</f>
        <v>0</v>
      </c>
      <c r="D6" s="229">
        <f t="shared" si="4"/>
        <v>82.809999999999988</v>
      </c>
      <c r="E6" s="229">
        <f t="shared" si="4"/>
        <v>0.43</v>
      </c>
      <c r="F6" s="229">
        <f t="shared" si="4"/>
        <v>1.22</v>
      </c>
      <c r="G6" s="229">
        <f t="shared" si="4"/>
        <v>0</v>
      </c>
      <c r="H6" s="229">
        <f t="shared" si="4"/>
        <v>5.3100000000000005</v>
      </c>
      <c r="I6" s="229">
        <f t="shared" si="4"/>
        <v>3.54</v>
      </c>
      <c r="J6" s="229">
        <f t="shared" si="4"/>
        <v>4.9399999999999995</v>
      </c>
      <c r="K6" s="229">
        <f t="shared" si="4"/>
        <v>0</v>
      </c>
      <c r="L6" s="229">
        <f t="shared" si="4"/>
        <v>0.76</v>
      </c>
      <c r="M6" s="229">
        <f t="shared" si="4"/>
        <v>0.91</v>
      </c>
      <c r="N6" s="229">
        <f t="shared" si="4"/>
        <v>0</v>
      </c>
      <c r="O6" s="229">
        <f t="shared" si="4"/>
        <v>0.08</v>
      </c>
      <c r="P6" s="229">
        <f t="shared" si="3"/>
        <v>100</v>
      </c>
    </row>
    <row r="7" spans="1:16">
      <c r="A7" s="224" t="s">
        <v>454</v>
      </c>
      <c r="B7" s="198" t="s">
        <v>431</v>
      </c>
      <c r="C7" s="229">
        <f t="shared" ref="C7:O7" si="5">ROUND(B18,4)*100</f>
        <v>0</v>
      </c>
      <c r="D7" s="229">
        <f t="shared" si="5"/>
        <v>61.28</v>
      </c>
      <c r="E7" s="229">
        <f t="shared" si="5"/>
        <v>2.9899999999999998</v>
      </c>
      <c r="F7" s="229">
        <f t="shared" si="5"/>
        <v>1</v>
      </c>
      <c r="G7" s="229">
        <f t="shared" si="5"/>
        <v>0.42</v>
      </c>
      <c r="H7" s="229">
        <f t="shared" si="5"/>
        <v>5.59</v>
      </c>
      <c r="I7" s="229">
        <f t="shared" si="5"/>
        <v>18.670000000000002</v>
      </c>
      <c r="J7" s="229">
        <f t="shared" si="5"/>
        <v>0.02</v>
      </c>
      <c r="K7" s="229">
        <f t="shared" si="5"/>
        <v>7.7</v>
      </c>
      <c r="L7" s="229">
        <f t="shared" si="5"/>
        <v>6.9999999999999993E-2</v>
      </c>
      <c r="M7" s="229">
        <f t="shared" si="5"/>
        <v>1.87</v>
      </c>
      <c r="N7" s="229">
        <f t="shared" si="5"/>
        <v>0.38999999999999996</v>
      </c>
      <c r="O7" s="229">
        <f t="shared" si="5"/>
        <v>0</v>
      </c>
      <c r="P7" s="229">
        <f t="shared" si="3"/>
        <v>100</v>
      </c>
    </row>
    <row r="8" spans="1:16">
      <c r="A8" s="224" t="s">
        <v>455</v>
      </c>
      <c r="B8" s="224"/>
      <c r="C8" s="229">
        <f t="shared" ref="C8:N8" si="6">ROUND(B19,4)*100</f>
        <v>16.97</v>
      </c>
      <c r="D8" s="229">
        <f t="shared" si="6"/>
        <v>44.06</v>
      </c>
      <c r="E8" s="229">
        <f t="shared" si="6"/>
        <v>7.31</v>
      </c>
      <c r="F8" s="229">
        <f t="shared" si="6"/>
        <v>3.17</v>
      </c>
      <c r="G8" s="229">
        <f t="shared" si="6"/>
        <v>6.83</v>
      </c>
      <c r="H8" s="229">
        <f t="shared" si="6"/>
        <v>0.22999999999999998</v>
      </c>
      <c r="I8" s="229">
        <f t="shared" si="6"/>
        <v>3.37</v>
      </c>
      <c r="J8" s="229">
        <f t="shared" si="6"/>
        <v>11.27</v>
      </c>
      <c r="K8" s="229">
        <f t="shared" si="6"/>
        <v>0.13</v>
      </c>
      <c r="L8" s="229">
        <f t="shared" si="6"/>
        <v>3.74</v>
      </c>
      <c r="M8" s="229">
        <f t="shared" si="6"/>
        <v>0.57999999999999996</v>
      </c>
      <c r="N8" s="229">
        <f t="shared" si="6"/>
        <v>1.44</v>
      </c>
      <c r="O8" s="229">
        <f>ROUND(N19,4)*100 + 0.01</f>
        <v>0.9</v>
      </c>
      <c r="P8" s="229">
        <f t="shared" si="3"/>
        <v>100</v>
      </c>
    </row>
    <row r="10" spans="1:16">
      <c r="B10" s="194"/>
      <c r="C10" s="194"/>
      <c r="D10" s="194"/>
      <c r="E10" s="194"/>
      <c r="F10" s="194"/>
    </row>
    <row r="12" spans="1:16">
      <c r="A12" t="s">
        <v>1</v>
      </c>
      <c r="B12" t="s">
        <v>472</v>
      </c>
      <c r="C12" t="s">
        <v>156</v>
      </c>
      <c r="D12" t="s">
        <v>158</v>
      </c>
      <c r="I12" t="s">
        <v>488</v>
      </c>
      <c r="K12" t="s">
        <v>157</v>
      </c>
      <c r="L12" t="s">
        <v>473</v>
      </c>
      <c r="M12" t="s">
        <v>474</v>
      </c>
      <c r="N12" t="s">
        <v>46</v>
      </c>
      <c r="O12" t="s">
        <v>11</v>
      </c>
    </row>
    <row r="13" spans="1:16">
      <c r="D13" t="s">
        <v>475</v>
      </c>
      <c r="E13" t="s">
        <v>476</v>
      </c>
      <c r="F13" t="s">
        <v>477</v>
      </c>
      <c r="G13" t="s">
        <v>478</v>
      </c>
      <c r="H13" t="s">
        <v>479</v>
      </c>
      <c r="I13" t="s">
        <v>480</v>
      </c>
      <c r="J13" t="s">
        <v>449</v>
      </c>
    </row>
    <row r="14" spans="1:16">
      <c r="A14" t="s">
        <v>463</v>
      </c>
      <c r="B14" s="228">
        <v>2.7740423825669031E-3</v>
      </c>
      <c r="C14" s="228">
        <v>0.47032974826315488</v>
      </c>
      <c r="D14" s="228">
        <v>5.6916966937888183E-2</v>
      </c>
      <c r="E14" s="228">
        <v>9.1698875926385592E-2</v>
      </c>
      <c r="F14" s="228">
        <v>9.1867991587859677E-3</v>
      </c>
      <c r="G14" s="228">
        <v>7.7738650838895507E-5</v>
      </c>
      <c r="H14" s="228">
        <v>2.7803160280731997E-2</v>
      </c>
      <c r="I14" s="228">
        <v>0.30440682681737963</v>
      </c>
      <c r="J14" s="228">
        <v>1.4824897098575337E-3</v>
      </c>
      <c r="K14" s="228">
        <v>3.0244426684269243E-2</v>
      </c>
      <c r="L14" s="228">
        <v>2.2653315621650079E-3</v>
      </c>
      <c r="M14" s="228">
        <v>1.0392430164778664E-3</v>
      </c>
      <c r="N14" s="228">
        <v>1.7729867735186695E-3</v>
      </c>
      <c r="O14">
        <v>1</v>
      </c>
    </row>
    <row r="15" spans="1:16">
      <c r="A15" t="s">
        <v>467</v>
      </c>
      <c r="B15" s="228">
        <v>0.30439310892028199</v>
      </c>
      <c r="C15" s="228">
        <v>0.32066381514347297</v>
      </c>
      <c r="D15" s="228">
        <v>7.7684247006356649E-2</v>
      </c>
      <c r="E15" s="228">
        <v>9.4787306161782901E-3</v>
      </c>
      <c r="F15" s="228">
        <v>0.11709667514827617</v>
      </c>
      <c r="G15" s="228">
        <v>6.0800068096076265E-7</v>
      </c>
      <c r="H15" s="228">
        <v>3.481898299726096E-2</v>
      </c>
      <c r="I15" s="228">
        <v>4.7139508796249854E-2</v>
      </c>
      <c r="J15" s="228">
        <v>0</v>
      </c>
      <c r="K15" s="228">
        <v>4.6234195782299273E-2</v>
      </c>
      <c r="L15" s="228">
        <v>6.6904394932922329E-3</v>
      </c>
      <c r="M15" s="228">
        <v>2.4971195967739484E-2</v>
      </c>
      <c r="N15" s="228">
        <v>1.0829708129273105E-2</v>
      </c>
      <c r="O15">
        <v>1</v>
      </c>
    </row>
    <row r="16" spans="1:16">
      <c r="A16" t="s">
        <v>464</v>
      </c>
      <c r="B16" s="228">
        <v>5.7912573463171895E-4</v>
      </c>
      <c r="C16" s="228">
        <v>0.73282141478272056</v>
      </c>
      <c r="D16" s="228">
        <v>9.8498562910214069E-2</v>
      </c>
      <c r="E16" s="228">
        <v>2.104585817854232E-2</v>
      </c>
      <c r="F16" s="228">
        <v>6.5226717000557675E-3</v>
      </c>
      <c r="G16" s="228">
        <v>6.7350178027540642E-4</v>
      </c>
      <c r="H16" s="228">
        <v>2.7662905924241775E-2</v>
      </c>
      <c r="I16" s="228">
        <v>6.2678563768178111E-2</v>
      </c>
      <c r="J16" s="228">
        <v>2.2736047359615632E-4</v>
      </c>
      <c r="K16" s="228">
        <v>2.5498691604821759E-2</v>
      </c>
      <c r="L16" s="228">
        <v>6.6921196001887518E-3</v>
      </c>
      <c r="M16" s="228">
        <v>1.7073484620994379E-3</v>
      </c>
      <c r="N16" s="228">
        <v>1.5394019990562396E-2</v>
      </c>
      <c r="O16">
        <v>1</v>
      </c>
    </row>
    <row r="17" spans="1:15">
      <c r="A17" t="s">
        <v>465</v>
      </c>
      <c r="B17" s="228">
        <v>0</v>
      </c>
      <c r="C17" s="228">
        <v>0.82808694240181868</v>
      </c>
      <c r="D17" s="228">
        <v>4.3146442738175323E-3</v>
      </c>
      <c r="E17" s="228">
        <v>1.2224825442483008E-2</v>
      </c>
      <c r="F17" s="228">
        <v>0</v>
      </c>
      <c r="G17" s="228">
        <v>5.3086362476513028E-2</v>
      </c>
      <c r="H17" s="228">
        <v>3.5352246630633972E-2</v>
      </c>
      <c r="I17" s="228">
        <v>4.9374840520540954E-2</v>
      </c>
      <c r="J17" s="228">
        <v>0</v>
      </c>
      <c r="K17" s="228">
        <v>7.6086200097427448E-3</v>
      </c>
      <c r="L17" s="228">
        <v>9.0584332737943356E-3</v>
      </c>
      <c r="M17" s="228">
        <v>0</v>
      </c>
      <c r="N17" s="228">
        <v>8.0468347676819203E-4</v>
      </c>
      <c r="O17">
        <v>1</v>
      </c>
    </row>
    <row r="18" spans="1:15">
      <c r="A18" t="s">
        <v>466</v>
      </c>
      <c r="B18" s="228">
        <v>0</v>
      </c>
      <c r="C18" s="228">
        <v>0.61278404925963936</v>
      </c>
      <c r="D18" s="228">
        <v>2.9878316962322241E-2</v>
      </c>
      <c r="E18" s="228">
        <v>1.0027855153203343E-2</v>
      </c>
      <c r="F18" s="228">
        <v>4.1929335874505208E-3</v>
      </c>
      <c r="G18" s="228">
        <v>5.5856912476176517E-2</v>
      </c>
      <c r="H18" s="228">
        <v>0.18674681131798856</v>
      </c>
      <c r="I18" s="228">
        <v>2.3456971118604309E-4</v>
      </c>
      <c r="J18" s="228">
        <v>7.6997507696818651E-2</v>
      </c>
      <c r="K18" s="228">
        <v>7.330303474563847E-4</v>
      </c>
      <c r="L18" s="228">
        <v>1.8677613253188681E-2</v>
      </c>
      <c r="M18" s="228">
        <v>3.8704002345697113E-3</v>
      </c>
      <c r="N18" s="228">
        <v>0</v>
      </c>
      <c r="O18">
        <v>1</v>
      </c>
    </row>
    <row r="19" spans="1:15">
      <c r="A19" t="s">
        <v>11</v>
      </c>
      <c r="B19" s="228">
        <v>0.16965710609839155</v>
      </c>
      <c r="C19" s="228">
        <v>0.44061854550324286</v>
      </c>
      <c r="D19" s="228">
        <v>7.313704860477456E-2</v>
      </c>
      <c r="E19" s="228">
        <v>3.1719988139664555E-2</v>
      </c>
      <c r="F19" s="228">
        <v>6.8312631156048756E-2</v>
      </c>
      <c r="G19" s="228">
        <v>2.3120232969910978E-3</v>
      </c>
      <c r="H19" s="228">
        <v>3.3721672739072957E-2</v>
      </c>
      <c r="I19" s="228">
        <v>0.11273997698771092</v>
      </c>
      <c r="J19" s="228">
        <v>1.2882429196394809E-3</v>
      </c>
      <c r="K19" s="228">
        <v>3.7371188357711228E-2</v>
      </c>
      <c r="L19" s="228">
        <v>5.8029963201251611E-3</v>
      </c>
      <c r="M19" s="228">
        <v>1.4424340268841016E-2</v>
      </c>
      <c r="N19" s="228">
        <v>8.894576932457144E-3</v>
      </c>
      <c r="O19">
        <v>1</v>
      </c>
    </row>
    <row r="21" spans="1:15" ht="23">
      <c r="A21" s="226" t="s">
        <v>825</v>
      </c>
      <c r="B21" s="227"/>
      <c r="C21" s="227"/>
      <c r="D21" s="227"/>
      <c r="E21" s="227"/>
      <c r="F21" s="227"/>
      <c r="G21" s="227"/>
      <c r="H21" s="227"/>
      <c r="I21" s="227"/>
      <c r="J21" s="227"/>
    </row>
  </sheetData>
  <mergeCells count="10">
    <mergeCell ref="M1:M2"/>
    <mergeCell ref="N1:N2"/>
    <mergeCell ref="O1:O2"/>
    <mergeCell ref="P1:P2"/>
    <mergeCell ref="A1:A2"/>
    <mergeCell ref="C1:C2"/>
    <mergeCell ref="D1:D2"/>
    <mergeCell ref="E1:I1"/>
    <mergeCell ref="J1:K1"/>
    <mergeCell ref="L1:L2"/>
  </mergeCells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C2" sqref="C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'A.일산테크노밸리(859991)_수정'!EH91</f>
        <v>11480.706768974527</v>
      </c>
      <c r="C2" s="411">
        <f>'E.관광문화단지(849301)_수정'!EQ17+'C.장항공공주택지구(849992)'!EY137+'B.고양영상밸리(849991)_수정'!EQ82</f>
        <v>18181.554402194692</v>
      </c>
    </row>
  </sheetData>
  <phoneticPr fontId="2" type="noConversion"/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O38"/>
  <sheetViews>
    <sheetView workbookViewId="0">
      <selection activeCell="M12" sqref="M12"/>
    </sheetView>
  </sheetViews>
  <sheetFormatPr defaultRowHeight="17"/>
  <cols>
    <col min="11" max="11" width="32.5" bestFit="1" customWidth="1"/>
    <col min="14" max="14" width="9.5" bestFit="1" customWidth="1"/>
  </cols>
  <sheetData>
    <row r="1" spans="1:15" ht="30.5" thickBot="1">
      <c r="A1" s="254" t="s">
        <v>534</v>
      </c>
      <c r="K1" s="254" t="s">
        <v>552</v>
      </c>
    </row>
    <row r="2" spans="1:15" ht="17.5" customHeight="1" thickTop="1">
      <c r="A2" s="632" t="s">
        <v>1</v>
      </c>
      <c r="B2" s="636" t="s">
        <v>527</v>
      </c>
      <c r="C2" s="637"/>
      <c r="D2" s="634" t="s">
        <v>528</v>
      </c>
      <c r="E2" s="635"/>
      <c r="F2" s="635"/>
      <c r="G2" s="635"/>
      <c r="H2" s="635"/>
    </row>
    <row r="3" spans="1:15" ht="17.5" thickBot="1">
      <c r="A3" s="633"/>
      <c r="B3" s="636"/>
      <c r="C3" s="637"/>
      <c r="D3" s="247" t="s">
        <v>529</v>
      </c>
      <c r="E3" s="247" t="s">
        <v>530</v>
      </c>
      <c r="F3" s="247" t="s">
        <v>531</v>
      </c>
      <c r="G3" s="247" t="s">
        <v>532</v>
      </c>
      <c r="H3" s="248" t="s">
        <v>533</v>
      </c>
      <c r="M3" t="s">
        <v>536</v>
      </c>
    </row>
    <row r="4" spans="1:15" ht="26" thickTop="1" thickBot="1">
      <c r="A4" s="232"/>
      <c r="B4" s="19"/>
      <c r="C4" s="19"/>
      <c r="D4" s="232" t="s">
        <v>555</v>
      </c>
      <c r="E4" s="232" t="s">
        <v>556</v>
      </c>
      <c r="F4" s="232" t="s">
        <v>557</v>
      </c>
      <c r="G4" s="232" t="s">
        <v>558</v>
      </c>
      <c r="H4" s="19" t="s">
        <v>559</v>
      </c>
      <c r="K4" s="235" t="s">
        <v>1</v>
      </c>
      <c r="L4" s="257" t="s">
        <v>475</v>
      </c>
      <c r="M4" s="257" t="s">
        <v>478</v>
      </c>
      <c r="N4" s="257" t="s">
        <v>479</v>
      </c>
      <c r="O4" s="249" t="s">
        <v>157</v>
      </c>
    </row>
    <row r="5" spans="1:15" ht="17.5" thickTop="1">
      <c r="A5" s="231" t="s">
        <v>493</v>
      </c>
      <c r="B5" s="235" t="s">
        <v>496</v>
      </c>
      <c r="C5" s="236">
        <v>8</v>
      </c>
      <c r="D5" s="237">
        <v>1.06</v>
      </c>
      <c r="E5" s="237">
        <v>1.31</v>
      </c>
      <c r="F5" s="237">
        <v>1.1399999999999999</v>
      </c>
      <c r="G5" s="237">
        <v>1.32</v>
      </c>
      <c r="H5" s="238">
        <v>1.28</v>
      </c>
      <c r="K5" s="192" t="s">
        <v>537</v>
      </c>
      <c r="L5" s="255">
        <v>19.27</v>
      </c>
      <c r="M5" s="255">
        <v>27.9</v>
      </c>
      <c r="N5" s="255">
        <v>27.9</v>
      </c>
      <c r="O5" s="256">
        <v>1.47</v>
      </c>
    </row>
    <row r="6" spans="1:15">
      <c r="A6" s="232" t="s">
        <v>494</v>
      </c>
      <c r="B6" s="239" t="s">
        <v>497</v>
      </c>
      <c r="C6" s="240">
        <v>9</v>
      </c>
      <c r="D6" s="241">
        <v>1.0900000000000001</v>
      </c>
      <c r="E6" s="241">
        <v>1.34</v>
      </c>
      <c r="F6" s="241">
        <v>1.23</v>
      </c>
      <c r="G6" s="241">
        <v>1.32</v>
      </c>
      <c r="H6" s="242">
        <v>1.33</v>
      </c>
      <c r="K6" s="192" t="s">
        <v>538</v>
      </c>
      <c r="L6" s="255">
        <v>19.63</v>
      </c>
      <c r="M6" s="255">
        <v>26.96</v>
      </c>
      <c r="N6" s="255">
        <v>26.96</v>
      </c>
      <c r="O6" s="256">
        <v>1.48</v>
      </c>
    </row>
    <row r="7" spans="1:15">
      <c r="A7" s="232" t="s">
        <v>495</v>
      </c>
      <c r="B7" s="239" t="s">
        <v>498</v>
      </c>
      <c r="C7" s="240">
        <v>10</v>
      </c>
      <c r="D7" s="241">
        <v>1.1100000000000001</v>
      </c>
      <c r="E7" s="241">
        <v>1.06</v>
      </c>
      <c r="F7" s="241">
        <v>1.19</v>
      </c>
      <c r="G7" s="241">
        <v>1.35</v>
      </c>
      <c r="H7" s="242">
        <v>1.47</v>
      </c>
      <c r="K7" s="192" t="s">
        <v>539</v>
      </c>
      <c r="L7" s="255">
        <v>16</v>
      </c>
      <c r="M7" s="255">
        <v>28.3</v>
      </c>
      <c r="N7" s="255">
        <v>28.3</v>
      </c>
      <c r="O7" s="256">
        <v>1.48</v>
      </c>
    </row>
    <row r="8" spans="1:15">
      <c r="A8" s="233"/>
      <c r="B8" s="239" t="s">
        <v>499</v>
      </c>
      <c r="C8" s="240">
        <v>11</v>
      </c>
      <c r="D8" s="241">
        <v>1.1000000000000001</v>
      </c>
      <c r="E8" s="241">
        <v>1.0900000000000001</v>
      </c>
      <c r="F8" s="241">
        <v>1.17</v>
      </c>
      <c r="G8" s="241">
        <v>1.23</v>
      </c>
      <c r="H8" s="242">
        <v>1.29</v>
      </c>
      <c r="K8" s="192" t="s">
        <v>540</v>
      </c>
      <c r="L8" s="255">
        <v>11.37</v>
      </c>
      <c r="M8" s="255">
        <v>25.59</v>
      </c>
      <c r="N8" s="255">
        <v>25.59</v>
      </c>
      <c r="O8" s="256">
        <v>1.49</v>
      </c>
    </row>
    <row r="9" spans="1:15">
      <c r="A9" s="233"/>
      <c r="B9" s="239" t="s">
        <v>500</v>
      </c>
      <c r="C9" s="240">
        <v>12</v>
      </c>
      <c r="D9" s="241">
        <v>1.1200000000000001</v>
      </c>
      <c r="E9" s="241">
        <v>1.19</v>
      </c>
      <c r="F9" s="241">
        <v>1.1499999999999999</v>
      </c>
      <c r="G9" s="241">
        <v>1.26</v>
      </c>
      <c r="H9" s="242">
        <v>1.27</v>
      </c>
      <c r="K9" s="192" t="s">
        <v>541</v>
      </c>
      <c r="L9" s="255">
        <v>19.16</v>
      </c>
      <c r="M9" s="255">
        <v>27.47</v>
      </c>
      <c r="N9" s="255">
        <v>27.47</v>
      </c>
      <c r="O9" s="256">
        <v>1.48</v>
      </c>
    </row>
    <row r="10" spans="1:15">
      <c r="A10" s="233"/>
      <c r="B10" s="239" t="s">
        <v>501</v>
      </c>
      <c r="C10" s="240">
        <v>13</v>
      </c>
      <c r="D10" s="241">
        <v>1.0900000000000001</v>
      </c>
      <c r="E10" s="241">
        <v>1.1499999999999999</v>
      </c>
      <c r="F10" s="241">
        <v>1.18</v>
      </c>
      <c r="G10" s="241">
        <v>1.3</v>
      </c>
      <c r="H10" s="242">
        <v>1.29</v>
      </c>
      <c r="K10" s="192" t="s">
        <v>542</v>
      </c>
      <c r="L10" s="255">
        <v>20.71</v>
      </c>
      <c r="M10" s="255">
        <v>28.64</v>
      </c>
      <c r="N10" s="255">
        <v>28.64</v>
      </c>
      <c r="O10" s="256">
        <v>1.48</v>
      </c>
    </row>
    <row r="11" spans="1:15">
      <c r="A11" s="233"/>
      <c r="B11" s="239" t="s">
        <v>502</v>
      </c>
      <c r="C11" s="240">
        <v>14</v>
      </c>
      <c r="D11" s="241">
        <v>1.2</v>
      </c>
      <c r="E11" s="241">
        <v>1.49</v>
      </c>
      <c r="F11" s="241">
        <v>1.1499999999999999</v>
      </c>
      <c r="G11" s="241">
        <v>1.46</v>
      </c>
      <c r="H11" s="242">
        <v>1.34</v>
      </c>
      <c r="K11" s="192" t="s">
        <v>543</v>
      </c>
      <c r="L11" s="255">
        <v>16.72</v>
      </c>
      <c r="M11" s="255">
        <v>28.08</v>
      </c>
      <c r="N11" s="255">
        <v>28.08</v>
      </c>
      <c r="O11" s="256">
        <v>1.48</v>
      </c>
    </row>
    <row r="12" spans="1:15">
      <c r="A12" s="233"/>
      <c r="B12" s="239" t="s">
        <v>503</v>
      </c>
      <c r="C12" s="240">
        <v>15</v>
      </c>
      <c r="D12" s="241">
        <v>1.1000000000000001</v>
      </c>
      <c r="E12" s="241">
        <v>1.1000000000000001</v>
      </c>
      <c r="F12" s="241">
        <v>1.21</v>
      </c>
      <c r="G12" s="241">
        <v>1.43</v>
      </c>
      <c r="H12" s="242">
        <v>1.31</v>
      </c>
      <c r="K12" s="260" t="s">
        <v>535</v>
      </c>
      <c r="L12" s="261">
        <v>11.58</v>
      </c>
      <c r="M12" s="261">
        <v>28.79</v>
      </c>
      <c r="N12" s="261">
        <v>28.79</v>
      </c>
      <c r="O12" s="262">
        <v>1.5</v>
      </c>
    </row>
    <row r="13" spans="1:15">
      <c r="A13" s="233"/>
      <c r="B13" s="239" t="s">
        <v>504</v>
      </c>
      <c r="C13" s="240">
        <v>16</v>
      </c>
      <c r="D13" s="241">
        <v>1.1299999999999999</v>
      </c>
      <c r="E13" s="241">
        <v>1.1599999999999999</v>
      </c>
      <c r="F13" s="241">
        <v>1.1499999999999999</v>
      </c>
      <c r="G13" s="241">
        <v>1.29</v>
      </c>
      <c r="H13" s="242">
        <v>1.26</v>
      </c>
      <c r="K13" s="192" t="s">
        <v>544</v>
      </c>
      <c r="L13" s="255">
        <v>12.41</v>
      </c>
      <c r="M13" s="255">
        <v>26.99</v>
      </c>
      <c r="N13" s="255">
        <v>26.99</v>
      </c>
      <c r="O13" s="256">
        <v>1.48</v>
      </c>
    </row>
    <row r="14" spans="1:15">
      <c r="A14" s="233"/>
      <c r="B14" s="250" t="s">
        <v>505</v>
      </c>
      <c r="C14" s="251">
        <v>17</v>
      </c>
      <c r="D14" s="252">
        <v>1.1200000000000001</v>
      </c>
      <c r="E14" s="252">
        <v>1.36</v>
      </c>
      <c r="F14" s="252">
        <v>1.3</v>
      </c>
      <c r="G14" s="252">
        <v>1.26</v>
      </c>
      <c r="H14" s="253">
        <v>1.41</v>
      </c>
      <c r="K14" s="192" t="s">
        <v>545</v>
      </c>
      <c r="L14" s="255">
        <v>13.52</v>
      </c>
      <c r="M14" s="255">
        <v>27.3</v>
      </c>
      <c r="N14" s="255">
        <v>27.3</v>
      </c>
      <c r="O14" s="256">
        <v>1.48</v>
      </c>
    </row>
    <row r="15" spans="1:15">
      <c r="A15" s="233"/>
      <c r="B15" s="239" t="s">
        <v>506</v>
      </c>
      <c r="C15" s="240">
        <v>18</v>
      </c>
      <c r="D15" s="241">
        <v>1.1000000000000001</v>
      </c>
      <c r="E15" s="241">
        <v>1.51</v>
      </c>
      <c r="F15" s="241">
        <v>1.19</v>
      </c>
      <c r="G15" s="241">
        <v>1.33</v>
      </c>
      <c r="H15" s="242">
        <v>1.31</v>
      </c>
      <c r="K15" s="192" t="s">
        <v>546</v>
      </c>
      <c r="L15" s="255">
        <v>10.4</v>
      </c>
      <c r="M15" s="255">
        <v>28.96</v>
      </c>
      <c r="N15" s="255">
        <v>28.96</v>
      </c>
      <c r="O15" s="256">
        <v>1.48</v>
      </c>
    </row>
    <row r="16" spans="1:15">
      <c r="A16" s="233"/>
      <c r="B16" s="239" t="s">
        <v>507</v>
      </c>
      <c r="C16" s="240">
        <v>19</v>
      </c>
      <c r="D16" s="241">
        <v>1.06</v>
      </c>
      <c r="E16" s="241">
        <v>1</v>
      </c>
      <c r="F16" s="241">
        <v>1.1599999999999999</v>
      </c>
      <c r="G16" s="241">
        <v>1.32</v>
      </c>
      <c r="H16" s="242">
        <v>1.47</v>
      </c>
      <c r="K16" s="192" t="s">
        <v>547</v>
      </c>
      <c r="L16" s="255">
        <v>12.02</v>
      </c>
      <c r="M16" s="255">
        <v>27.65</v>
      </c>
      <c r="N16" s="255">
        <v>27.65</v>
      </c>
      <c r="O16" s="256">
        <v>1.48</v>
      </c>
    </row>
    <row r="17" spans="1:15">
      <c r="A17" s="233"/>
      <c r="B17" s="239" t="s">
        <v>508</v>
      </c>
      <c r="C17" s="240">
        <v>20</v>
      </c>
      <c r="D17" s="241">
        <v>1.0900000000000001</v>
      </c>
      <c r="E17" s="241">
        <v>1.1200000000000001</v>
      </c>
      <c r="F17" s="241">
        <v>1.23</v>
      </c>
      <c r="G17" s="241">
        <v>1.35</v>
      </c>
      <c r="H17" s="242">
        <v>1.36</v>
      </c>
      <c r="K17" s="192" t="s">
        <v>548</v>
      </c>
      <c r="L17" s="255">
        <v>17.25</v>
      </c>
      <c r="M17" s="255">
        <v>27.63</v>
      </c>
      <c r="N17" s="255">
        <v>27.63</v>
      </c>
      <c r="O17" s="256">
        <v>1.48</v>
      </c>
    </row>
    <row r="18" spans="1:15">
      <c r="A18" s="233"/>
      <c r="B18" s="239" t="s">
        <v>509</v>
      </c>
      <c r="C18" s="240">
        <v>21</v>
      </c>
      <c r="D18" s="241">
        <v>1.1399999999999999</v>
      </c>
      <c r="E18" s="241">
        <v>1.01</v>
      </c>
      <c r="F18" s="241">
        <v>1.1499999999999999</v>
      </c>
      <c r="G18" s="241">
        <v>1.3</v>
      </c>
      <c r="H18" s="242">
        <v>1.55</v>
      </c>
      <c r="K18" s="192" t="s">
        <v>549</v>
      </c>
      <c r="L18" s="255">
        <v>8.44</v>
      </c>
      <c r="M18" s="255">
        <v>28.73</v>
      </c>
      <c r="N18" s="255">
        <v>28.73</v>
      </c>
      <c r="O18" s="256">
        <v>1.48</v>
      </c>
    </row>
    <row r="19" spans="1:15">
      <c r="A19" s="233"/>
      <c r="B19" s="239" t="s">
        <v>510</v>
      </c>
      <c r="C19" s="240">
        <v>16</v>
      </c>
      <c r="D19" s="241">
        <v>1.1299999999999999</v>
      </c>
      <c r="E19" s="241">
        <v>1.1599999999999999</v>
      </c>
      <c r="F19" s="241">
        <v>1.1499999999999999</v>
      </c>
      <c r="G19" s="241">
        <v>1.19</v>
      </c>
      <c r="H19" s="242">
        <v>1.26</v>
      </c>
      <c r="K19" s="192" t="s">
        <v>550</v>
      </c>
      <c r="L19" s="255">
        <v>10.33</v>
      </c>
      <c r="M19" s="255">
        <v>28.16</v>
      </c>
      <c r="N19" s="255">
        <v>28.16</v>
      </c>
      <c r="O19" s="256">
        <v>1.48</v>
      </c>
    </row>
    <row r="20" spans="1:15" ht="17.5" thickBot="1">
      <c r="A20" s="233"/>
      <c r="B20" s="239" t="s">
        <v>511</v>
      </c>
      <c r="C20" s="240">
        <v>18</v>
      </c>
      <c r="D20" s="241">
        <v>1.1000000000000001</v>
      </c>
      <c r="E20" s="241">
        <v>1.51</v>
      </c>
      <c r="F20" s="241">
        <v>1.19</v>
      </c>
      <c r="G20" s="241">
        <v>1.27</v>
      </c>
      <c r="H20" s="242">
        <v>1.31</v>
      </c>
      <c r="K20" s="193" t="s">
        <v>551</v>
      </c>
      <c r="L20" s="258">
        <v>14.59</v>
      </c>
      <c r="M20" s="258">
        <v>25.96</v>
      </c>
      <c r="N20" s="258">
        <v>25.96</v>
      </c>
      <c r="O20" s="259">
        <v>1.48</v>
      </c>
    </row>
    <row r="21" spans="1:15" ht="17.5" thickTop="1">
      <c r="A21" s="233"/>
      <c r="B21" s="239" t="s">
        <v>512</v>
      </c>
      <c r="C21" s="240">
        <v>18</v>
      </c>
      <c r="D21" s="241">
        <v>1.1000000000000001</v>
      </c>
      <c r="E21" s="241">
        <v>1.51</v>
      </c>
      <c r="F21" s="241">
        <v>1.19</v>
      </c>
      <c r="G21" s="241">
        <v>1.29</v>
      </c>
      <c r="H21" s="242">
        <v>1.31</v>
      </c>
    </row>
    <row r="22" spans="1:15">
      <c r="A22" s="233"/>
      <c r="B22" s="239" t="s">
        <v>513</v>
      </c>
      <c r="C22" s="240">
        <v>22</v>
      </c>
      <c r="D22" s="241">
        <v>1.06</v>
      </c>
      <c r="E22" s="241">
        <v>1.06</v>
      </c>
      <c r="F22" s="241">
        <v>1.1200000000000001</v>
      </c>
      <c r="G22" s="241">
        <v>1.38</v>
      </c>
      <c r="H22" s="242">
        <v>1.48</v>
      </c>
    </row>
    <row r="23" spans="1:15">
      <c r="A23" s="233"/>
      <c r="B23" s="239" t="s">
        <v>514</v>
      </c>
      <c r="C23" s="240">
        <v>23</v>
      </c>
      <c r="D23" s="241">
        <v>1.1499999999999999</v>
      </c>
      <c r="E23" s="241">
        <v>1.0900000000000001</v>
      </c>
      <c r="F23" s="241">
        <v>1.17</v>
      </c>
      <c r="G23" s="241">
        <v>1.35</v>
      </c>
      <c r="H23" s="242">
        <v>1.34</v>
      </c>
    </row>
    <row r="24" spans="1:15">
      <c r="A24" s="233"/>
      <c r="B24" s="239" t="s">
        <v>515</v>
      </c>
      <c r="C24" s="240">
        <v>24</v>
      </c>
      <c r="D24" s="241">
        <v>1.08</v>
      </c>
      <c r="E24" s="241">
        <v>1.1599999999999999</v>
      </c>
      <c r="F24" s="241">
        <v>1.37</v>
      </c>
      <c r="G24" s="241">
        <v>1.36</v>
      </c>
      <c r="H24" s="242">
        <v>1.48</v>
      </c>
    </row>
    <row r="25" spans="1:15">
      <c r="A25" s="233"/>
      <c r="B25" s="239" t="s">
        <v>516</v>
      </c>
      <c r="C25" s="240">
        <v>25</v>
      </c>
      <c r="D25" s="241">
        <v>1.22</v>
      </c>
      <c r="E25" s="241">
        <v>1.29</v>
      </c>
      <c r="F25" s="241">
        <v>1.26</v>
      </c>
      <c r="G25" s="241">
        <v>1.53</v>
      </c>
      <c r="H25" s="242">
        <v>1.45</v>
      </c>
    </row>
    <row r="26" spans="1:15">
      <c r="A26" s="233"/>
      <c r="B26" s="239" t="s">
        <v>517</v>
      </c>
      <c r="C26" s="240">
        <v>14</v>
      </c>
      <c r="D26" s="241">
        <v>1.2</v>
      </c>
      <c r="E26" s="241">
        <v>1.49</v>
      </c>
      <c r="F26" s="241">
        <v>1.1499999999999999</v>
      </c>
      <c r="G26" s="241">
        <v>1.4</v>
      </c>
      <c r="H26" s="242">
        <v>1.34</v>
      </c>
    </row>
    <row r="27" spans="1:15">
      <c r="A27" s="233"/>
      <c r="B27" s="239" t="s">
        <v>518</v>
      </c>
      <c r="C27" s="240">
        <v>26</v>
      </c>
      <c r="D27" s="241">
        <v>1.03</v>
      </c>
      <c r="E27" s="241">
        <v>1.1499999999999999</v>
      </c>
      <c r="F27" s="241">
        <v>1.17</v>
      </c>
      <c r="G27" s="241">
        <v>1.34</v>
      </c>
      <c r="H27" s="242">
        <v>1.32</v>
      </c>
    </row>
    <row r="28" spans="1:15">
      <c r="A28" s="233"/>
      <c r="B28" s="239" t="s">
        <v>519</v>
      </c>
      <c r="C28" s="240">
        <v>27</v>
      </c>
      <c r="D28" s="241">
        <v>1.06</v>
      </c>
      <c r="E28" s="241">
        <v>1.23</v>
      </c>
      <c r="F28" s="241">
        <v>1.1299999999999999</v>
      </c>
      <c r="G28" s="241">
        <v>1.31</v>
      </c>
      <c r="H28" s="242">
        <v>1.23</v>
      </c>
    </row>
    <row r="29" spans="1:15">
      <c r="A29" s="233"/>
      <c r="B29" s="239" t="s">
        <v>520</v>
      </c>
      <c r="C29" s="240">
        <v>28</v>
      </c>
      <c r="D29" s="241">
        <v>1.1499999999999999</v>
      </c>
      <c r="E29" s="241">
        <v>1.1399999999999999</v>
      </c>
      <c r="F29" s="241">
        <v>1.21</v>
      </c>
      <c r="G29" s="241">
        <v>1.35</v>
      </c>
      <c r="H29" s="242">
        <v>1.49</v>
      </c>
    </row>
    <row r="30" spans="1:15">
      <c r="A30" s="233"/>
      <c r="B30" s="239" t="s">
        <v>521</v>
      </c>
      <c r="C30" s="240">
        <v>15</v>
      </c>
      <c r="D30" s="241">
        <v>1.1000000000000001</v>
      </c>
      <c r="E30" s="241">
        <v>1.1000000000000001</v>
      </c>
      <c r="F30" s="241">
        <v>1.21</v>
      </c>
      <c r="G30" s="241">
        <v>1.36</v>
      </c>
      <c r="H30" s="242">
        <v>1.31</v>
      </c>
    </row>
    <row r="31" spans="1:15">
      <c r="A31" s="233"/>
      <c r="B31" s="239" t="s">
        <v>522</v>
      </c>
      <c r="C31" s="240">
        <v>15</v>
      </c>
      <c r="D31" s="241">
        <v>1.1000000000000001</v>
      </c>
      <c r="E31" s="241">
        <v>1.1000000000000001</v>
      </c>
      <c r="F31" s="241">
        <v>1.21</v>
      </c>
      <c r="G31" s="241">
        <v>1.36</v>
      </c>
      <c r="H31" s="242">
        <v>1.31</v>
      </c>
    </row>
    <row r="32" spans="1:15">
      <c r="A32" s="233"/>
      <c r="B32" s="239" t="s">
        <v>523</v>
      </c>
      <c r="C32" s="240">
        <v>25</v>
      </c>
      <c r="D32" s="241">
        <v>1.22</v>
      </c>
      <c r="E32" s="241">
        <v>1.29</v>
      </c>
      <c r="F32" s="241">
        <v>1.26</v>
      </c>
      <c r="G32" s="241">
        <v>1.56</v>
      </c>
      <c r="H32" s="242">
        <v>1.45</v>
      </c>
    </row>
    <row r="33" spans="1:10">
      <c r="A33" s="233"/>
      <c r="B33" s="239" t="s">
        <v>524</v>
      </c>
      <c r="C33" s="240">
        <v>15</v>
      </c>
      <c r="D33" s="241">
        <v>1.1000000000000001</v>
      </c>
      <c r="E33" s="241">
        <v>1.1000000000000001</v>
      </c>
      <c r="F33" s="241">
        <v>1.21</v>
      </c>
      <c r="G33" s="241">
        <v>1.3</v>
      </c>
      <c r="H33" s="242">
        <v>1.31</v>
      </c>
    </row>
    <row r="34" spans="1:10">
      <c r="A34" s="233"/>
      <c r="B34" s="239" t="s">
        <v>525</v>
      </c>
      <c r="C34" s="240">
        <v>29</v>
      </c>
      <c r="D34" s="241">
        <v>1.1499999999999999</v>
      </c>
      <c r="E34" s="241">
        <v>2.09</v>
      </c>
      <c r="F34" s="241">
        <v>1.23</v>
      </c>
      <c r="G34" s="241">
        <v>1.8</v>
      </c>
      <c r="H34" s="242">
        <v>1.47</v>
      </c>
    </row>
    <row r="35" spans="1:10" ht="17.5" thickBot="1">
      <c r="A35" s="234"/>
      <c r="B35" s="243" t="s">
        <v>526</v>
      </c>
      <c r="C35" s="244">
        <v>29</v>
      </c>
      <c r="D35" s="245">
        <v>1.1499999999999999</v>
      </c>
      <c r="E35" s="245">
        <v>2.09</v>
      </c>
      <c r="F35" s="245">
        <v>1.23</v>
      </c>
      <c r="G35" s="245">
        <v>1.52</v>
      </c>
      <c r="H35" s="246">
        <v>1.47</v>
      </c>
    </row>
    <row r="36" spans="1:10" ht="17.5" thickTop="1"/>
    <row r="38" spans="1:10" ht="23">
      <c r="A38" s="226" t="s">
        <v>561</v>
      </c>
      <c r="B38" s="227"/>
      <c r="C38" s="227"/>
      <c r="D38" s="227"/>
      <c r="E38" s="227"/>
      <c r="F38" s="227"/>
      <c r="G38" s="227"/>
      <c r="H38" s="227"/>
      <c r="I38" s="227"/>
      <c r="J38" s="227"/>
    </row>
  </sheetData>
  <mergeCells count="3">
    <mergeCell ref="A2:A3"/>
    <mergeCell ref="D2:H2"/>
    <mergeCell ref="B2:C3"/>
  </mergeCells>
  <phoneticPr fontId="2" type="noConversion"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H13"/>
  <sheetViews>
    <sheetView workbookViewId="0">
      <selection activeCell="E8" sqref="E8"/>
    </sheetView>
  </sheetViews>
  <sheetFormatPr defaultRowHeight="17"/>
  <cols>
    <col min="7" max="7" width="11.25" bestFit="1" customWidth="1"/>
  </cols>
  <sheetData>
    <row r="1" spans="1:8">
      <c r="A1" t="s">
        <v>842</v>
      </c>
      <c r="B1" t="s">
        <v>844</v>
      </c>
    </row>
    <row r="2" spans="1:8">
      <c r="B2" t="s">
        <v>843</v>
      </c>
    </row>
    <row r="3" spans="1:8">
      <c r="B3" t="s">
        <v>850</v>
      </c>
    </row>
    <row r="5" spans="1:8">
      <c r="A5" t="s">
        <v>848</v>
      </c>
    </row>
    <row r="6" spans="1:8">
      <c r="C6" t="s">
        <v>834</v>
      </c>
      <c r="D6" t="s">
        <v>835</v>
      </c>
      <c r="E6" t="s">
        <v>836</v>
      </c>
      <c r="F6" t="s">
        <v>837</v>
      </c>
      <c r="G6" t="s">
        <v>838</v>
      </c>
      <c r="H6" t="s">
        <v>839</v>
      </c>
    </row>
    <row r="7" spans="1:8">
      <c r="B7" t="s">
        <v>840</v>
      </c>
      <c r="C7">
        <v>3.3276365000000002E-2</v>
      </c>
      <c r="D7">
        <v>4.1014570000000002E-3</v>
      </c>
      <c r="E7">
        <v>-5.765081E-3</v>
      </c>
      <c r="F7">
        <v>-7.9329919999999998E-3</v>
      </c>
      <c r="G7">
        <v>-1.0003636E-2</v>
      </c>
      <c r="H7">
        <v>-1.3263053E-2</v>
      </c>
    </row>
    <row r="8" spans="1:8">
      <c r="B8" t="s">
        <v>841</v>
      </c>
      <c r="C8">
        <v>3.3276365000000002E-2</v>
      </c>
      <c r="D8">
        <v>4.1014570000000002E-3</v>
      </c>
      <c r="E8">
        <v>-5.765081E-3</v>
      </c>
      <c r="F8">
        <v>-7.9329919999999998E-3</v>
      </c>
      <c r="G8">
        <v>-1.0003636E-2</v>
      </c>
      <c r="H8">
        <v>-1.3263053E-2</v>
      </c>
    </row>
    <row r="10" spans="1:8">
      <c r="A10" t="s">
        <v>849</v>
      </c>
    </row>
    <row r="11" spans="1:8">
      <c r="C11" t="s">
        <v>834</v>
      </c>
      <c r="D11" t="s">
        <v>835</v>
      </c>
      <c r="E11" t="s">
        <v>836</v>
      </c>
      <c r="F11" t="s">
        <v>837</v>
      </c>
      <c r="G11" t="s">
        <v>838</v>
      </c>
      <c r="H11" t="s">
        <v>839</v>
      </c>
    </row>
    <row r="12" spans="1:8">
      <c r="B12" t="s">
        <v>840</v>
      </c>
      <c r="C12">
        <v>6.5363019999999999E-3</v>
      </c>
      <c r="D12">
        <v>4.8167230000000002E-3</v>
      </c>
      <c r="E12">
        <v>3.635381E-3</v>
      </c>
      <c r="F12">
        <v>2.8425770000000002E-3</v>
      </c>
      <c r="G12">
        <v>2.8586530000000001E-3</v>
      </c>
      <c r="H12">
        <v>2.8770100000000002E-3</v>
      </c>
    </row>
    <row r="13" spans="1:8">
      <c r="B13" t="s">
        <v>841</v>
      </c>
      <c r="C13">
        <v>6.6108679999999998E-3</v>
      </c>
      <c r="D13">
        <v>4.8407060000000002E-3</v>
      </c>
      <c r="E13">
        <v>3.6351869999999998E-3</v>
      </c>
      <c r="F13">
        <v>2.8304570000000002E-3</v>
      </c>
      <c r="G13">
        <v>2.837886E-3</v>
      </c>
      <c r="H13">
        <v>2.8418079999999999E-3</v>
      </c>
    </row>
  </sheetData>
  <phoneticPr fontId="2" type="noConversion"/>
  <pageMargins left="0.7" right="0.7" top="0.75" bottom="0.75" header="0.3" footer="0.3"/>
  <legacy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2:AB15"/>
  <sheetViews>
    <sheetView workbookViewId="0">
      <selection activeCell="L15" sqref="L15"/>
    </sheetView>
  </sheetViews>
  <sheetFormatPr defaultRowHeight="17"/>
  <cols>
    <col min="7" max="7" width="11.25" bestFit="1" customWidth="1"/>
    <col min="23" max="23" width="12.5" bestFit="1" customWidth="1"/>
  </cols>
  <sheetData>
    <row r="2" spans="1:28">
      <c r="A2" t="s">
        <v>900</v>
      </c>
      <c r="K2" s="32" t="s">
        <v>459</v>
      </c>
      <c r="S2" s="32" t="s">
        <v>460</v>
      </c>
    </row>
    <row r="3" spans="1:28">
      <c r="A3" s="194"/>
      <c r="B3" s="194" t="s">
        <v>427</v>
      </c>
      <c r="C3" s="194" t="s">
        <v>428</v>
      </c>
      <c r="D3" s="194" t="s">
        <v>429</v>
      </c>
      <c r="E3" s="194" t="s">
        <v>430</v>
      </c>
      <c r="F3" s="194" t="s">
        <v>431</v>
      </c>
      <c r="G3" s="194" t="s">
        <v>458</v>
      </c>
      <c r="K3" s="194"/>
      <c r="L3" s="194" t="s">
        <v>427</v>
      </c>
      <c r="M3" s="194" t="s">
        <v>428</v>
      </c>
      <c r="N3" s="194" t="s">
        <v>429</v>
      </c>
      <c r="O3" s="194" t="s">
        <v>430</v>
      </c>
      <c r="P3" s="194" t="s">
        <v>431</v>
      </c>
      <c r="Q3" s="194" t="s">
        <v>458</v>
      </c>
      <c r="S3" s="194"/>
      <c r="T3" s="194" t="s">
        <v>427</v>
      </c>
      <c r="U3" s="197" t="s">
        <v>428</v>
      </c>
      <c r="V3" s="194" t="s">
        <v>429</v>
      </c>
      <c r="W3" s="194" t="s">
        <v>430</v>
      </c>
      <c r="X3" s="194" t="s">
        <v>431</v>
      </c>
      <c r="AB3" t="s">
        <v>428</v>
      </c>
    </row>
    <row r="4" spans="1:28">
      <c r="A4" s="194" t="s">
        <v>427</v>
      </c>
      <c r="B4" s="194">
        <v>2498299.9795225998</v>
      </c>
      <c r="C4" s="194">
        <v>17960.210966980299</v>
      </c>
      <c r="D4" s="194">
        <v>189561.342211954</v>
      </c>
      <c r="E4" s="194">
        <v>10831.5930864368</v>
      </c>
      <c r="F4" s="194">
        <v>6210.6862630488704</v>
      </c>
      <c r="G4">
        <f>SUM(B4:F4)</f>
        <v>2722863.8120510196</v>
      </c>
      <c r="K4" s="194" t="s">
        <v>427</v>
      </c>
      <c r="L4" s="194">
        <f>B4/$G4</f>
        <v>0.91752660139132514</v>
      </c>
      <c r="M4" s="194">
        <f t="shared" ref="M4:P5" si="0">C4/$G4</f>
        <v>6.5960739158127859E-3</v>
      </c>
      <c r="N4" s="194">
        <f t="shared" si="0"/>
        <v>6.9618370692276874E-2</v>
      </c>
      <c r="O4" s="194">
        <f t="shared" si="0"/>
        <v>3.9780149996843997E-3</v>
      </c>
      <c r="P4" s="194">
        <f t="shared" si="0"/>
        <v>2.2809390009009005E-3</v>
      </c>
      <c r="Q4">
        <f>SUM(L4:P4)</f>
        <v>1</v>
      </c>
      <c r="S4" s="194" t="s">
        <v>427</v>
      </c>
      <c r="T4" s="194">
        <f>B4/B$9</f>
        <v>0.91347736792042311</v>
      </c>
      <c r="U4" s="197">
        <f t="shared" ref="U4:U8" si="1">C4/C$9</f>
        <v>0.11553344389165265</v>
      </c>
      <c r="V4" s="194">
        <f t="shared" ref="V4:V8" si="2">D4/D$9</f>
        <v>0.11873127353805124</v>
      </c>
      <c r="W4" s="194">
        <f t="shared" ref="W4:W8" si="3">E4/E$9</f>
        <v>2.769777825130099E-2</v>
      </c>
      <c r="X4" s="194">
        <f t="shared" ref="X4:X8" si="4">F4/F$9</f>
        <v>9.5415592816178071E-5</v>
      </c>
      <c r="AB4">
        <v>0.11553344389165274</v>
      </c>
    </row>
    <row r="5" spans="1:28">
      <c r="A5" s="194" t="s">
        <v>428</v>
      </c>
      <c r="B5" s="194">
        <v>16715.4696530443</v>
      </c>
      <c r="C5" s="194">
        <v>129981.721098568</v>
      </c>
      <c r="D5" s="194">
        <v>5761.4856842749004</v>
      </c>
      <c r="E5" s="194">
        <v>15.6243679573556</v>
      </c>
      <c r="F5" s="194">
        <v>44.269042545841003</v>
      </c>
      <c r="G5">
        <f t="shared" ref="G5:G8" si="5">SUM(B5:F5)</f>
        <v>152518.5698463904</v>
      </c>
      <c r="K5" s="197" t="s">
        <v>428</v>
      </c>
      <c r="L5" s="197">
        <f t="shared" ref="L5" si="6">B5/$G5</f>
        <v>0.10959629158521053</v>
      </c>
      <c r="M5" s="197">
        <f t="shared" si="0"/>
        <v>0.85223537848197461</v>
      </c>
      <c r="N5" s="197">
        <f t="shared" si="0"/>
        <v>3.7775634075756154E-2</v>
      </c>
      <c r="O5" s="197">
        <f t="shared" si="0"/>
        <v>1.0244239749357562E-4</v>
      </c>
      <c r="P5" s="197">
        <f t="shared" si="0"/>
        <v>2.902534595651318E-4</v>
      </c>
      <c r="Q5" s="34">
        <f t="shared" ref="Q5:Q8" si="7">SUM(L5:P5)</f>
        <v>1</v>
      </c>
      <c r="S5" s="194" t="s">
        <v>428</v>
      </c>
      <c r="T5" s="194">
        <f t="shared" ref="T5:T8" si="8">B5/B$9</f>
        <v>6.1118373883725556E-3</v>
      </c>
      <c r="U5" s="197">
        <f t="shared" si="1"/>
        <v>0.83613916947250311</v>
      </c>
      <c r="V5" s="194">
        <f t="shared" si="2"/>
        <v>3.6086921773339884E-3</v>
      </c>
      <c r="W5" s="194">
        <f t="shared" si="3"/>
        <v>3.9953520737541888E-5</v>
      </c>
      <c r="X5" s="194">
        <f t="shared" si="4"/>
        <v>6.8011114376311415E-7</v>
      </c>
      <c r="AB5">
        <v>0.836139169472503</v>
      </c>
    </row>
    <row r="6" spans="1:28">
      <c r="A6" s="194" t="s">
        <v>429</v>
      </c>
      <c r="B6" s="194">
        <v>209806.61699269799</v>
      </c>
      <c r="C6" s="194">
        <v>7456.7296076479897</v>
      </c>
      <c r="D6" s="194">
        <v>1267025.56873518</v>
      </c>
      <c r="E6" s="194">
        <v>22074.627862417299</v>
      </c>
      <c r="F6" s="194">
        <v>57700.790866514399</v>
      </c>
      <c r="G6">
        <f t="shared" si="5"/>
        <v>1564064.3340644578</v>
      </c>
      <c r="K6" s="194" t="s">
        <v>429</v>
      </c>
      <c r="L6" s="194">
        <f t="shared" ref="L6" si="9">B6/$G6</f>
        <v>0.13414193548387091</v>
      </c>
      <c r="M6" s="194">
        <f t="shared" ref="M6" si="10">C6/$G6</f>
        <v>4.7675338189386044E-3</v>
      </c>
      <c r="N6" s="194">
        <f t="shared" ref="N6" si="11">D6/$G6</f>
        <v>0.8100853277835588</v>
      </c>
      <c r="O6" s="194">
        <f t="shared" ref="O6" si="12">E6/$G6</f>
        <v>1.411363163371486E-2</v>
      </c>
      <c r="P6" s="194">
        <f t="shared" ref="P6" si="13">F6/$G6</f>
        <v>3.6891571279916706E-2</v>
      </c>
      <c r="Q6">
        <f t="shared" si="7"/>
        <v>0.99999999999999989</v>
      </c>
      <c r="S6" s="194" t="s">
        <v>429</v>
      </c>
      <c r="T6" s="194">
        <f t="shared" si="8"/>
        <v>7.6713604384450726E-2</v>
      </c>
      <c r="U6" s="197">
        <f t="shared" si="1"/>
        <v>4.7967234534398724E-2</v>
      </c>
      <c r="V6" s="194">
        <f t="shared" si="2"/>
        <v>0.79359830240595819</v>
      </c>
      <c r="W6" s="194">
        <f t="shared" si="3"/>
        <v>5.644766588202392E-2</v>
      </c>
      <c r="X6" s="194">
        <f t="shared" si="4"/>
        <v>8.8646486608841648E-4</v>
      </c>
      <c r="AB6">
        <v>4.796723453439862E-2</v>
      </c>
    </row>
    <row r="7" spans="1:28">
      <c r="A7" s="194" t="s">
        <v>430</v>
      </c>
      <c r="B7" s="194">
        <v>8416.3262063622496</v>
      </c>
      <c r="C7" s="194">
        <v>11.7182759680167</v>
      </c>
      <c r="D7" s="194">
        <v>22495.1837666028</v>
      </c>
      <c r="E7" s="194">
        <v>358141.76231850602</v>
      </c>
      <c r="F7" s="194">
        <v>0</v>
      </c>
      <c r="G7">
        <f t="shared" si="5"/>
        <v>389064.99056743912</v>
      </c>
      <c r="K7" s="194" t="s">
        <v>430</v>
      </c>
      <c r="L7" s="194">
        <f t="shared" ref="L7:L8" si="14">B7/$G7</f>
        <v>2.1632185908290802E-2</v>
      </c>
      <c r="M7" s="194">
        <f t="shared" ref="M7:M8" si="15">C7/$G7</f>
        <v>3.0119070726271107E-5</v>
      </c>
      <c r="N7" s="194">
        <f t="shared" ref="N7:N8" si="16">D7/$G7</f>
        <v>5.7818576104198632E-2</v>
      </c>
      <c r="O7" s="194">
        <f t="shared" ref="O7:O8" si="17">E7/$G7</f>
        <v>0.92051911891678417</v>
      </c>
      <c r="P7" s="194">
        <f t="shared" ref="P7:P8" si="18">F7/$G7</f>
        <v>0</v>
      </c>
      <c r="Q7">
        <f t="shared" si="7"/>
        <v>0.99999999999999989</v>
      </c>
      <c r="S7" s="194" t="s">
        <v>430</v>
      </c>
      <c r="T7" s="194">
        <f t="shared" si="8"/>
        <v>3.0773420220003328E-3</v>
      </c>
      <c r="U7" s="197">
        <f t="shared" si="1"/>
        <v>7.538067239559748E-5</v>
      </c>
      <c r="V7" s="194">
        <f t="shared" si="2"/>
        <v>1.4089802202892491E-2</v>
      </c>
      <c r="W7" s="194">
        <f t="shared" si="3"/>
        <v>0.91581460234593748</v>
      </c>
      <c r="X7" s="194">
        <f t="shared" si="4"/>
        <v>0</v>
      </c>
      <c r="AB7">
        <v>7.538067239559748E-5</v>
      </c>
    </row>
    <row r="8" spans="1:28">
      <c r="A8" s="194" t="s">
        <v>431</v>
      </c>
      <c r="B8" s="194">
        <v>1695.24392337309</v>
      </c>
      <c r="C8" s="194">
        <v>44.269042545841003</v>
      </c>
      <c r="D8" s="194">
        <v>111714.230895093</v>
      </c>
      <c r="E8" s="194">
        <v>0</v>
      </c>
      <c r="F8" s="194">
        <v>65026938.516928099</v>
      </c>
      <c r="G8">
        <f t="shared" si="5"/>
        <v>65140392.260789111</v>
      </c>
      <c r="K8" s="194" t="s">
        <v>431</v>
      </c>
      <c r="L8" s="194">
        <f t="shared" si="14"/>
        <v>2.6024465996246883E-5</v>
      </c>
      <c r="M8" s="194">
        <f t="shared" si="15"/>
        <v>6.7959435013240625E-7</v>
      </c>
      <c r="N8" s="194">
        <f t="shared" si="16"/>
        <v>1.7149763306282505E-3</v>
      </c>
      <c r="O8" s="194">
        <f t="shared" si="17"/>
        <v>0</v>
      </c>
      <c r="P8" s="194">
        <f t="shared" si="18"/>
        <v>0.99825831960902534</v>
      </c>
      <c r="Q8">
        <f t="shared" si="7"/>
        <v>1</v>
      </c>
      <c r="S8" s="194" t="s">
        <v>431</v>
      </c>
      <c r="T8" s="194">
        <f t="shared" si="8"/>
        <v>6.1984828475316136E-4</v>
      </c>
      <c r="U8" s="197">
        <f t="shared" si="1"/>
        <v>2.847714290500358E-4</v>
      </c>
      <c r="V8" s="194">
        <f t="shared" si="2"/>
        <v>6.9971929675764113E-2</v>
      </c>
      <c r="W8" s="194">
        <f t="shared" si="3"/>
        <v>0</v>
      </c>
      <c r="X8" s="194">
        <f t="shared" si="4"/>
        <v>0.99901743942995169</v>
      </c>
      <c r="AB8">
        <v>2.8477142905003597E-4</v>
      </c>
    </row>
    <row r="9" spans="1:28">
      <c r="A9" s="194" t="s">
        <v>458</v>
      </c>
      <c r="B9">
        <f>SUM(B4:B8)</f>
        <v>2734933.6362980776</v>
      </c>
      <c r="C9">
        <f t="shared" ref="C9:F9" si="19">SUM(C4:C8)</f>
        <v>155454.64899171013</v>
      </c>
      <c r="D9">
        <f t="shared" si="19"/>
        <v>1596557.8112931047</v>
      </c>
      <c r="E9">
        <f t="shared" si="19"/>
        <v>391063.60763531749</v>
      </c>
      <c r="F9">
        <f t="shared" si="19"/>
        <v>65090894.263100207</v>
      </c>
      <c r="G9">
        <f>SUM(G4:G8)</f>
        <v>69968903.967318416</v>
      </c>
      <c r="H9" t="b">
        <f>SUM(B9:F9)=G9</f>
        <v>1</v>
      </c>
      <c r="K9" s="194"/>
      <c r="S9" s="194" t="s">
        <v>458</v>
      </c>
      <c r="T9">
        <f>SUM(T4:T8)</f>
        <v>0.99999999999999989</v>
      </c>
      <c r="U9" s="34">
        <f t="shared" ref="U9" si="20">SUM(U4:U8)</f>
        <v>1.0000000000000002</v>
      </c>
      <c r="V9">
        <f t="shared" ref="V9" si="21">SUM(V4:V8)</f>
        <v>1</v>
      </c>
      <c r="W9">
        <f t="shared" ref="W9" si="22">SUM(W4:W8)</f>
        <v>0.99999999999999989</v>
      </c>
      <c r="X9">
        <f t="shared" ref="X9" si="23">SUM(X4:X8)</f>
        <v>1</v>
      </c>
      <c r="AB9">
        <v>1.0000000000000002</v>
      </c>
    </row>
    <row r="11" spans="1:28" ht="30">
      <c r="A11" s="196"/>
      <c r="B11">
        <f t="shared" ref="B11:E11" si="24">B5/$G$5</f>
        <v>0.10959629158521053</v>
      </c>
      <c r="C11">
        <f t="shared" si="24"/>
        <v>0.85223537848197461</v>
      </c>
      <c r="D11">
        <f t="shared" si="24"/>
        <v>3.7775634075756154E-2</v>
      </c>
      <c r="E11">
        <f t="shared" si="24"/>
        <v>1.0244239749357562E-4</v>
      </c>
      <c r="F11">
        <f>F5/$G$5</f>
        <v>2.902534595651318E-4</v>
      </c>
      <c r="K11" s="199"/>
      <c r="L11" s="200" t="s">
        <v>427</v>
      </c>
      <c r="M11" s="200" t="s">
        <v>428</v>
      </c>
      <c r="N11" s="200" t="s">
        <v>429</v>
      </c>
      <c r="O11" s="200" t="s">
        <v>430</v>
      </c>
      <c r="P11" s="200" t="s">
        <v>431</v>
      </c>
      <c r="Q11" s="200" t="s">
        <v>461</v>
      </c>
      <c r="S11" s="199"/>
      <c r="T11" s="200" t="s">
        <v>427</v>
      </c>
      <c r="U11" s="200" t="s">
        <v>428</v>
      </c>
      <c r="V11" s="200" t="s">
        <v>429</v>
      </c>
      <c r="W11" s="200" t="s">
        <v>430</v>
      </c>
      <c r="X11" s="200" t="s">
        <v>431</v>
      </c>
      <c r="Y11" s="200" t="s">
        <v>461</v>
      </c>
    </row>
    <row r="12" spans="1:28">
      <c r="K12" s="200" t="s">
        <v>428</v>
      </c>
      <c r="L12" s="200">
        <f>L5</f>
        <v>0.10959629158521053</v>
      </c>
      <c r="M12" s="200">
        <f t="shared" ref="M12:Q12" si="25">M5</f>
        <v>0.85223537848197461</v>
      </c>
      <c r="N12" s="200">
        <f t="shared" si="25"/>
        <v>3.7775634075756154E-2</v>
      </c>
      <c r="O12" s="200">
        <f t="shared" si="25"/>
        <v>1.0244239749357562E-4</v>
      </c>
      <c r="P12" s="200">
        <f t="shared" si="25"/>
        <v>2.902534595651318E-4</v>
      </c>
      <c r="Q12" s="200">
        <f t="shared" si="25"/>
        <v>1</v>
      </c>
      <c r="S12" s="199" t="s">
        <v>428</v>
      </c>
      <c r="T12" s="199">
        <f>U4</f>
        <v>0.11553344389165265</v>
      </c>
      <c r="U12" s="199">
        <f>U5</f>
        <v>0.83613916947250311</v>
      </c>
      <c r="V12" s="199">
        <f>U6</f>
        <v>4.7967234534398724E-2</v>
      </c>
      <c r="W12" s="199">
        <f>U7</f>
        <v>7.538067239559748E-5</v>
      </c>
      <c r="X12" s="199">
        <f>U8</f>
        <v>2.847714290500358E-4</v>
      </c>
      <c r="Y12" s="199">
        <f>U9</f>
        <v>1.0000000000000002</v>
      </c>
    </row>
    <row r="13" spans="1:28">
      <c r="Q13" t="b">
        <f>SUM(L12:P12)=Q12</f>
        <v>1</v>
      </c>
      <c r="Y13" t="b">
        <f>SUM(T12:X12)=Y12</f>
        <v>1</v>
      </c>
    </row>
    <row r="15" spans="1:28" ht="30">
      <c r="A15" s="195"/>
    </row>
  </sheetData>
  <phoneticPr fontId="2" type="noConversion"/>
  <pageMargins left="0.7" right="0.7" top="0.75" bottom="0.75" header="0.3" footer="0.3"/>
  <legacy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P28"/>
  <sheetViews>
    <sheetView workbookViewId="0">
      <selection activeCell="M15" sqref="M15"/>
    </sheetView>
  </sheetViews>
  <sheetFormatPr defaultRowHeight="17"/>
  <cols>
    <col min="1" max="1" width="38" style="427" bestFit="1" customWidth="1"/>
    <col min="2" max="9" width="8.6640625" style="427"/>
    <col min="10" max="10" width="40.5" style="427" bestFit="1" customWidth="1"/>
    <col min="11" max="16384" width="8.6640625" style="427"/>
  </cols>
  <sheetData>
    <row r="1" spans="1:16" s="426" customFormat="1" ht="23">
      <c r="A1" s="425" t="s">
        <v>868</v>
      </c>
    </row>
    <row r="2" spans="1:16">
      <c r="J2" s="427" t="s">
        <v>869</v>
      </c>
      <c r="K2" s="427" t="s">
        <v>870</v>
      </c>
    </row>
    <row r="3" spans="1:16">
      <c r="B3" s="427" t="s">
        <v>871</v>
      </c>
      <c r="C3" s="427" t="s">
        <v>872</v>
      </c>
      <c r="D3" s="427" t="s">
        <v>873</v>
      </c>
      <c r="E3" s="427" t="s">
        <v>874</v>
      </c>
      <c r="F3" s="427" t="s">
        <v>875</v>
      </c>
      <c r="G3" s="427" t="s">
        <v>876</v>
      </c>
    </row>
    <row r="4" spans="1:16">
      <c r="A4" s="427">
        <v>2025</v>
      </c>
      <c r="B4" s="427">
        <v>22151.49</v>
      </c>
      <c r="C4" s="427">
        <v>22461.8</v>
      </c>
      <c r="D4" s="427">
        <v>42.683999999999997</v>
      </c>
      <c r="E4" s="427">
        <v>25.37</v>
      </c>
      <c r="F4" s="427">
        <v>1517.5440000000001</v>
      </c>
      <c r="G4" s="427">
        <v>1573.2439999999999</v>
      </c>
    </row>
    <row r="5" spans="1:16">
      <c r="A5" s="427">
        <v>2020</v>
      </c>
      <c r="B5" s="427">
        <v>16523.95</v>
      </c>
      <c r="C5" s="427">
        <v>16937.05</v>
      </c>
      <c r="D5" s="427">
        <v>21.37</v>
      </c>
      <c r="E5" s="427">
        <v>14.486000000000001</v>
      </c>
      <c r="F5" s="427">
        <v>1466.248</v>
      </c>
      <c r="G5" s="427">
        <v>1518.346</v>
      </c>
    </row>
    <row r="6" spans="1:16">
      <c r="A6" s="428">
        <v>2019</v>
      </c>
      <c r="B6" s="428">
        <f>B5/(1+B8)</f>
        <v>15537.154544211986</v>
      </c>
      <c r="C6" s="428">
        <f t="shared" ref="C6:G6" si="0">C5/(1+C8)</f>
        <v>15955.912810422771</v>
      </c>
      <c r="D6" s="428">
        <f t="shared" si="0"/>
        <v>18.998325019526163</v>
      </c>
      <c r="E6" s="428">
        <f t="shared" si="0"/>
        <v>13.082831511872131</v>
      </c>
      <c r="F6" s="428">
        <f t="shared" si="0"/>
        <v>1453.9613053278688</v>
      </c>
      <c r="G6" s="428">
        <f t="shared" si="0"/>
        <v>1505.2149645213499</v>
      </c>
    </row>
    <row r="8" spans="1:16">
      <c r="A8" s="427" t="s">
        <v>877</v>
      </c>
      <c r="B8" s="427">
        <f>(1-B5/B4)/4</f>
        <v>6.3511980458199419E-2</v>
      </c>
      <c r="C8" s="427">
        <f>(1-C5/C4)/4</f>
        <v>6.1490508329697546E-2</v>
      </c>
      <c r="D8" s="427">
        <f t="shared" ref="D8:G8" si="1">(1-D5/D4)/4</f>
        <v>0.12483600412332488</v>
      </c>
      <c r="E8" s="427">
        <f t="shared" si="1"/>
        <v>0.10725266062278282</v>
      </c>
      <c r="F8" s="427">
        <f t="shared" si="1"/>
        <v>8.4504963282777956E-3</v>
      </c>
      <c r="G8" s="427">
        <f t="shared" si="1"/>
        <v>8.7236944809578054E-3</v>
      </c>
    </row>
    <row r="9" spans="1:16">
      <c r="A9" s="427" t="s">
        <v>878</v>
      </c>
    </row>
    <row r="11" spans="1:16">
      <c r="J11" s="427" t="s">
        <v>879</v>
      </c>
    </row>
    <row r="12" spans="1:16">
      <c r="A12" s="429" t="s">
        <v>880</v>
      </c>
      <c r="B12" s="427">
        <f>B4-B6</f>
        <v>6614.3354557880157</v>
      </c>
      <c r="C12" s="427">
        <f t="shared" ref="C12:G12" si="2">C4-C6</f>
        <v>6505.8871895772281</v>
      </c>
      <c r="D12" s="427">
        <f t="shared" si="2"/>
        <v>23.685674980473834</v>
      </c>
      <c r="E12" s="427">
        <f t="shared" si="2"/>
        <v>12.28716848812787</v>
      </c>
      <c r="F12" s="427">
        <f t="shared" si="2"/>
        <v>63.582694672131311</v>
      </c>
      <c r="G12" s="427">
        <f t="shared" si="2"/>
        <v>68.02903547865003</v>
      </c>
      <c r="K12" s="427" t="s">
        <v>881</v>
      </c>
      <c r="L12" s="427" t="s">
        <v>882</v>
      </c>
      <c r="M12" s="427" t="s">
        <v>873</v>
      </c>
      <c r="N12" s="427" t="s">
        <v>874</v>
      </c>
      <c r="O12" s="427" t="s">
        <v>883</v>
      </c>
      <c r="P12" s="427" t="s">
        <v>876</v>
      </c>
    </row>
    <row r="13" spans="1:16">
      <c r="A13" s="430" t="s">
        <v>884</v>
      </c>
      <c r="B13" s="427">
        <f>B$12*B23</f>
        <v>-136.96839873709013</v>
      </c>
      <c r="C13" s="427">
        <f t="shared" ref="C13:G13" si="3">C$12*C23</f>
        <v>-1.4597098527887793</v>
      </c>
      <c r="D13" s="427">
        <f t="shared" si="3"/>
        <v>1.3291239043173875</v>
      </c>
      <c r="E13" s="427">
        <f t="shared" si="3"/>
        <v>1.2486659246635243</v>
      </c>
      <c r="F13" s="427">
        <f t="shared" si="3"/>
        <v>2.2241281513909459</v>
      </c>
      <c r="G13" s="427">
        <f t="shared" si="3"/>
        <v>2.4579039193629422</v>
      </c>
      <c r="J13" s="427">
        <v>2025</v>
      </c>
      <c r="K13" s="427">
        <f>B$12+B13</f>
        <v>6477.3670570509257</v>
      </c>
      <c r="L13" s="427">
        <f t="shared" ref="L13:P13" si="4">C$12+C13</f>
        <v>6504.4274797244398</v>
      </c>
      <c r="M13" s="427">
        <f t="shared" si="4"/>
        <v>25.014798884791222</v>
      </c>
      <c r="N13" s="427">
        <f t="shared" si="4"/>
        <v>13.535834412791395</v>
      </c>
      <c r="O13" s="427">
        <f t="shared" si="4"/>
        <v>65.806822823522253</v>
      </c>
      <c r="P13" s="427">
        <f t="shared" si="4"/>
        <v>70.486939398012979</v>
      </c>
    </row>
    <row r="14" spans="1:16">
      <c r="A14" s="430" t="s">
        <v>885</v>
      </c>
      <c r="B14" s="427">
        <f t="shared" ref="B14:G18" si="5">B$12*B24</f>
        <v>-19.951699192108912</v>
      </c>
      <c r="C14" s="427">
        <f t="shared" si="5"/>
        <v>-66.15324538206842</v>
      </c>
      <c r="D14" s="427">
        <f t="shared" si="5"/>
        <v>7.3231419430618866E-2</v>
      </c>
      <c r="E14" s="427">
        <f t="shared" si="5"/>
        <v>-5.1045944773560413E-2</v>
      </c>
      <c r="F14" s="427">
        <f t="shared" si="5"/>
        <v>1.6410989623185865</v>
      </c>
      <c r="G14" s="427">
        <f t="shared" si="5"/>
        <v>1.8014039743476842</v>
      </c>
      <c r="J14" s="427">
        <v>2030</v>
      </c>
      <c r="K14" s="427">
        <f>K13+B14</f>
        <v>6457.4153578588166</v>
      </c>
      <c r="L14" s="427">
        <f t="shared" ref="L14:P18" si="6">L13+C14</f>
        <v>6438.2742343423715</v>
      </c>
      <c r="M14" s="427">
        <f t="shared" si="6"/>
        <v>25.088030304221842</v>
      </c>
      <c r="N14" s="427">
        <f t="shared" si="6"/>
        <v>13.484788468017834</v>
      </c>
      <c r="O14" s="427">
        <f t="shared" si="6"/>
        <v>67.447921785840833</v>
      </c>
      <c r="P14" s="427">
        <f t="shared" si="6"/>
        <v>72.288343372360657</v>
      </c>
    </row>
    <row r="15" spans="1:16">
      <c r="A15" s="430" t="s">
        <v>886</v>
      </c>
      <c r="B15" s="427">
        <f t="shared" si="5"/>
        <v>-175.08411810760236</v>
      </c>
      <c r="C15" s="427">
        <f t="shared" si="5"/>
        <v>-158.15057395623887</v>
      </c>
      <c r="D15" s="427">
        <f t="shared" si="5"/>
        <v>-0.29825580358050607</v>
      </c>
      <c r="E15" s="427">
        <f t="shared" si="5"/>
        <v>-0.31596957959006705</v>
      </c>
      <c r="F15" s="427">
        <f t="shared" si="5"/>
        <v>1.2394406852863418</v>
      </c>
      <c r="G15" s="427">
        <f t="shared" si="5"/>
        <v>1.3535825727464796</v>
      </c>
      <c r="J15" s="427">
        <v>2035</v>
      </c>
      <c r="K15" s="427">
        <f t="shared" ref="K15:K18" si="7">K14+B15</f>
        <v>6282.3312397512145</v>
      </c>
      <c r="L15" s="427">
        <f t="shared" si="6"/>
        <v>6280.1236603861325</v>
      </c>
      <c r="M15" s="427">
        <f t="shared" si="6"/>
        <v>24.789774500641336</v>
      </c>
      <c r="N15" s="427">
        <f t="shared" si="6"/>
        <v>13.168818888427767</v>
      </c>
      <c r="O15" s="427">
        <f t="shared" si="6"/>
        <v>68.687362471127173</v>
      </c>
      <c r="P15" s="427">
        <f t="shared" si="6"/>
        <v>73.641925945107133</v>
      </c>
    </row>
    <row r="16" spans="1:16">
      <c r="A16" s="430" t="s">
        <v>887</v>
      </c>
      <c r="B16" s="427">
        <f t="shared" si="5"/>
        <v>-216.27735345574047</v>
      </c>
      <c r="C16" s="427">
        <f t="shared" si="5"/>
        <v>-182.1713990965257</v>
      </c>
      <c r="D16" s="427">
        <f t="shared" si="5"/>
        <v>-0.4397254364035289</v>
      </c>
      <c r="E16" s="427">
        <f t="shared" si="5"/>
        <v>-0.2890523651016581</v>
      </c>
      <c r="F16" s="427">
        <f t="shared" si="5"/>
        <v>0.96960979622475119</v>
      </c>
      <c r="G16" s="427">
        <f t="shared" si="5"/>
        <v>1.0542367838949092</v>
      </c>
      <c r="J16" s="427">
        <v>2040</v>
      </c>
      <c r="K16" s="427">
        <f t="shared" si="7"/>
        <v>6066.0538862954745</v>
      </c>
      <c r="L16" s="427">
        <f t="shared" si="6"/>
        <v>6097.9522612896071</v>
      </c>
      <c r="M16" s="427">
        <f t="shared" si="6"/>
        <v>24.350049064237808</v>
      </c>
      <c r="N16" s="427">
        <f t="shared" si="6"/>
        <v>12.879766523326108</v>
      </c>
      <c r="O16" s="427">
        <f t="shared" si="6"/>
        <v>69.656972267351918</v>
      </c>
      <c r="P16" s="427">
        <f t="shared" si="6"/>
        <v>74.69616272900204</v>
      </c>
    </row>
    <row r="17" spans="1:16">
      <c r="A17" s="430" t="s">
        <v>888</v>
      </c>
      <c r="B17" s="427">
        <f t="shared" si="5"/>
        <v>-310.99586904405407</v>
      </c>
      <c r="C17" s="427">
        <f t="shared" si="5"/>
        <v>-297.17738936856841</v>
      </c>
      <c r="D17" s="427">
        <f t="shared" si="5"/>
        <v>-0.34718572111846069</v>
      </c>
      <c r="E17" s="427">
        <f t="shared" si="5"/>
        <v>-0.21699838860465218</v>
      </c>
      <c r="F17" s="427">
        <f t="shared" si="5"/>
        <v>0.97632490659731985</v>
      </c>
      <c r="G17" s="427">
        <f t="shared" si="5"/>
        <v>1.0567892017720795</v>
      </c>
      <c r="J17" s="427">
        <v>2045</v>
      </c>
      <c r="K17" s="427">
        <f t="shared" si="7"/>
        <v>5755.0580172514201</v>
      </c>
      <c r="L17" s="427">
        <f t="shared" si="6"/>
        <v>5800.7748719210385</v>
      </c>
      <c r="M17" s="427">
        <f t="shared" si="6"/>
        <v>24.002863343119348</v>
      </c>
      <c r="N17" s="427">
        <f t="shared" si="6"/>
        <v>12.662768134721455</v>
      </c>
      <c r="O17" s="427">
        <f t="shared" si="6"/>
        <v>70.633297173949245</v>
      </c>
      <c r="P17" s="427">
        <f t="shared" si="6"/>
        <v>75.752951930774117</v>
      </c>
    </row>
    <row r="18" spans="1:16">
      <c r="A18" s="430" t="s">
        <v>889</v>
      </c>
      <c r="B18" s="427">
        <f t="shared" si="5"/>
        <v>-425.80154313374544</v>
      </c>
      <c r="C18" s="427">
        <f t="shared" si="5"/>
        <v>-426.13130614152811</v>
      </c>
      <c r="D18" s="427">
        <f t="shared" si="5"/>
        <v>-1.0646206891136625</v>
      </c>
      <c r="E18" s="427">
        <f t="shared" si="5"/>
        <v>-0.62484310756648598</v>
      </c>
      <c r="F18" s="427">
        <f t="shared" si="5"/>
        <v>0.98334005560387527</v>
      </c>
      <c r="G18" s="427">
        <f t="shared" si="5"/>
        <v>1.0579041565503018</v>
      </c>
      <c r="J18" s="427">
        <v>2050</v>
      </c>
      <c r="K18" s="427">
        <f t="shared" si="7"/>
        <v>5329.2564741176748</v>
      </c>
      <c r="L18" s="427">
        <f t="shared" si="6"/>
        <v>5374.64356577951</v>
      </c>
      <c r="M18" s="427">
        <f t="shared" si="6"/>
        <v>22.938242654005684</v>
      </c>
      <c r="N18" s="427">
        <f t="shared" si="6"/>
        <v>12.037925027154969</v>
      </c>
      <c r="O18" s="427">
        <f t="shared" si="6"/>
        <v>71.61663722955312</v>
      </c>
      <c r="P18" s="427">
        <f t="shared" si="6"/>
        <v>76.810856087324424</v>
      </c>
    </row>
    <row r="20" spans="1:16" s="426" customFormat="1" ht="23">
      <c r="A20" s="425" t="s">
        <v>890</v>
      </c>
    </row>
    <row r="22" spans="1:16">
      <c r="B22" s="427" t="s">
        <v>881</v>
      </c>
      <c r="C22" s="427" t="s">
        <v>872</v>
      </c>
      <c r="D22" s="427" t="s">
        <v>891</v>
      </c>
      <c r="E22" s="427" t="s">
        <v>874</v>
      </c>
      <c r="F22" s="427" t="s">
        <v>875</v>
      </c>
      <c r="G22" s="427" t="s">
        <v>876</v>
      </c>
    </row>
    <row r="23" spans="1:16">
      <c r="A23" s="427" t="s">
        <v>892</v>
      </c>
      <c r="B23" s="427">
        <v>-2.0707809522607899E-2</v>
      </c>
      <c r="C23" s="427">
        <v>-2.2436753209113599E-4</v>
      </c>
      <c r="D23" s="427">
        <v>5.6115095111838702E-2</v>
      </c>
      <c r="E23" s="427">
        <v>0.101623569813502</v>
      </c>
      <c r="F23" s="427">
        <v>3.49800863719259E-2</v>
      </c>
      <c r="G23" s="427">
        <v>3.6130218546672199E-2</v>
      </c>
    </row>
    <row r="24" spans="1:16">
      <c r="A24" s="427" t="s">
        <v>893</v>
      </c>
      <c r="B24" s="427">
        <v>-3.0164329168775E-3</v>
      </c>
      <c r="C24" s="427">
        <v>-1.01682127977948E-2</v>
      </c>
      <c r="D24" s="427">
        <v>3.0918020909680602E-3</v>
      </c>
      <c r="E24" s="427">
        <v>-4.1544107434419997E-3</v>
      </c>
      <c r="F24" s="427">
        <v>2.5810465737273799E-2</v>
      </c>
      <c r="G24" s="427">
        <v>2.6479928190559599E-2</v>
      </c>
    </row>
    <row r="25" spans="1:16">
      <c r="A25" s="427" t="s">
        <v>894</v>
      </c>
      <c r="B25" s="427">
        <v>-2.6470401944066999E-2</v>
      </c>
      <c r="C25" s="427">
        <v>-2.4308840492900701E-2</v>
      </c>
      <c r="D25" s="427">
        <v>-1.2592244207791601E-2</v>
      </c>
      <c r="E25" s="427">
        <v>-2.5715410340092899E-2</v>
      </c>
      <c r="F25" s="427">
        <v>1.9493365162920599E-2</v>
      </c>
      <c r="G25" s="427">
        <v>1.9897130147777602E-2</v>
      </c>
    </row>
    <row r="26" spans="1:16">
      <c r="A26" s="427" t="s">
        <v>895</v>
      </c>
      <c r="B26" s="427">
        <v>-3.2698274059638502E-2</v>
      </c>
      <c r="C26" s="427">
        <v>-2.8001007977570502E-2</v>
      </c>
      <c r="D26" s="427">
        <v>-1.8565037169767502E-2</v>
      </c>
      <c r="E26" s="427">
        <v>-2.3524733577223001E-2</v>
      </c>
      <c r="F26" s="427">
        <v>1.52495864043607E-2</v>
      </c>
      <c r="G26" s="427">
        <v>1.54968650735283E-2</v>
      </c>
    </row>
    <row r="27" spans="1:16">
      <c r="A27" s="427" t="s">
        <v>896</v>
      </c>
      <c r="B27" s="427">
        <v>-4.7018460300786602E-2</v>
      </c>
      <c r="C27" s="427">
        <v>-4.5678226613683398E-2</v>
      </c>
      <c r="D27" s="427">
        <v>-1.46580463256663E-2</v>
      </c>
      <c r="E27" s="427">
        <v>-1.76605691387988E-2</v>
      </c>
      <c r="F27" s="427">
        <v>1.53551986374879E-2</v>
      </c>
      <c r="G27" s="427">
        <v>1.5534384609991099E-2</v>
      </c>
    </row>
    <row r="28" spans="1:16">
      <c r="A28" s="427" t="s">
        <v>897</v>
      </c>
      <c r="B28" s="427">
        <v>-6.4375559113975495E-2</v>
      </c>
      <c r="C28" s="427">
        <v>-6.5499338326095294E-2</v>
      </c>
      <c r="D28" s="427">
        <v>-4.4947872078432302E-2</v>
      </c>
      <c r="E28" s="427">
        <v>-5.0853303441734603E-2</v>
      </c>
      <c r="F28" s="427">
        <v>1.54655297431878E-2</v>
      </c>
      <c r="G28" s="427">
        <v>1.55507740056422E-2</v>
      </c>
    </row>
  </sheetData>
  <phoneticPr fontId="2" type="noConversion"/>
  <pageMargins left="0.7" right="0.7" top="0.75" bottom="0.75" header="0.3" footer="0.3"/>
  <pageSetup paperSize="9" orientation="portrait" r:id="rId1"/>
  <legacy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L69"/>
  <sheetViews>
    <sheetView topLeftCell="A4" zoomScale="70" zoomScaleNormal="70" workbookViewId="0">
      <selection activeCell="A34" sqref="A34"/>
    </sheetView>
  </sheetViews>
  <sheetFormatPr defaultRowHeight="17"/>
  <sheetData>
    <row r="3" spans="1:31" ht="17.5" thickBot="1">
      <c r="A3" t="s">
        <v>176</v>
      </c>
      <c r="I3" t="s">
        <v>178</v>
      </c>
    </row>
    <row r="4" spans="1:31" ht="17.5" thickTop="1">
      <c r="A4" s="651" t="s">
        <v>177</v>
      </c>
      <c r="B4" s="571" t="s">
        <v>155</v>
      </c>
      <c r="C4" s="573"/>
      <c r="D4" s="573"/>
      <c r="E4" s="573"/>
      <c r="F4" s="573"/>
      <c r="G4" s="573"/>
      <c r="H4" s="573"/>
      <c r="I4" s="573"/>
      <c r="L4" s="651" t="s">
        <v>39</v>
      </c>
      <c r="M4" s="571" t="s">
        <v>179</v>
      </c>
      <c r="N4" s="573"/>
      <c r="O4" s="573"/>
      <c r="P4" s="573"/>
      <c r="Q4" s="573"/>
      <c r="R4" s="573"/>
      <c r="S4" s="573"/>
      <c r="T4" s="573"/>
      <c r="AB4" s="543" t="s">
        <v>39</v>
      </c>
      <c r="AC4" s="544"/>
      <c r="AD4" s="547" t="s">
        <v>163</v>
      </c>
      <c r="AE4" s="548"/>
    </row>
    <row r="5" spans="1:31" ht="17.5" thickBot="1">
      <c r="A5" s="652"/>
      <c r="B5" s="562" t="s">
        <v>165</v>
      </c>
      <c r="C5" s="563"/>
      <c r="D5" s="563"/>
      <c r="E5" s="563"/>
      <c r="F5" s="563"/>
      <c r="G5" s="564"/>
      <c r="H5" s="565" t="s">
        <v>166</v>
      </c>
      <c r="I5" s="566"/>
      <c r="L5" s="652"/>
      <c r="M5" s="562" t="s">
        <v>165</v>
      </c>
      <c r="N5" s="563"/>
      <c r="O5" s="563"/>
      <c r="P5" s="563"/>
      <c r="Q5" s="563"/>
      <c r="R5" s="564"/>
      <c r="S5" s="565" t="s">
        <v>166</v>
      </c>
      <c r="T5" s="566"/>
      <c r="AB5" s="545"/>
      <c r="AC5" s="546"/>
      <c r="AD5" s="36" t="s">
        <v>156</v>
      </c>
      <c r="AE5" s="37" t="s">
        <v>157</v>
      </c>
    </row>
    <row r="6" spans="1:31" ht="17.5" thickTop="1">
      <c r="A6" s="652"/>
      <c r="B6" s="562" t="s">
        <v>44</v>
      </c>
      <c r="C6" s="564"/>
      <c r="D6" s="562" t="s">
        <v>45</v>
      </c>
      <c r="E6" s="564"/>
      <c r="F6" s="562" t="s">
        <v>46</v>
      </c>
      <c r="G6" s="564"/>
      <c r="H6" s="567"/>
      <c r="I6" s="568"/>
      <c r="L6" s="652"/>
      <c r="M6" s="562" t="s">
        <v>44</v>
      </c>
      <c r="N6" s="564"/>
      <c r="O6" s="562" t="s">
        <v>45</v>
      </c>
      <c r="P6" s="564"/>
      <c r="Q6" s="562" t="s">
        <v>46</v>
      </c>
      <c r="R6" s="564"/>
      <c r="S6" s="567"/>
      <c r="T6" s="568"/>
      <c r="AB6" s="549" t="s">
        <v>164</v>
      </c>
      <c r="AC6" s="44" t="s">
        <v>165</v>
      </c>
      <c r="AD6" s="44">
        <v>1.59</v>
      </c>
      <c r="AE6" s="45">
        <v>1.7</v>
      </c>
    </row>
    <row r="7" spans="1:31" ht="17.5" thickBot="1">
      <c r="A7" s="653"/>
      <c r="B7" s="53" t="s">
        <v>40</v>
      </c>
      <c r="C7" s="53" t="s">
        <v>41</v>
      </c>
      <c r="D7" s="53" t="s">
        <v>40</v>
      </c>
      <c r="E7" s="54" t="s">
        <v>41</v>
      </c>
      <c r="F7" s="53" t="s">
        <v>40</v>
      </c>
      <c r="G7" s="53" t="s">
        <v>41</v>
      </c>
      <c r="H7" s="53" t="s">
        <v>40</v>
      </c>
      <c r="I7" s="54" t="s">
        <v>41</v>
      </c>
      <c r="L7" s="653"/>
      <c r="M7" s="53" t="s">
        <v>40</v>
      </c>
      <c r="N7" s="53" t="s">
        <v>41</v>
      </c>
      <c r="O7" s="53" t="s">
        <v>40</v>
      </c>
      <c r="P7" s="54" t="s">
        <v>41</v>
      </c>
      <c r="Q7" s="53" t="s">
        <v>40</v>
      </c>
      <c r="R7" s="53" t="s">
        <v>41</v>
      </c>
      <c r="S7" s="53" t="s">
        <v>40</v>
      </c>
      <c r="T7" s="54" t="s">
        <v>41</v>
      </c>
      <c r="AB7" s="536"/>
      <c r="AC7" s="46" t="s">
        <v>166</v>
      </c>
      <c r="AD7" s="46">
        <v>1.59</v>
      </c>
      <c r="AE7" s="47">
        <v>1.7</v>
      </c>
    </row>
    <row r="8" spans="1:31" ht="17.5" thickTop="1">
      <c r="A8" s="38" t="s">
        <v>161</v>
      </c>
      <c r="B8" s="6">
        <v>0</v>
      </c>
      <c r="C8" s="6">
        <v>110</v>
      </c>
      <c r="D8" s="6">
        <v>0</v>
      </c>
      <c r="E8" s="39">
        <v>31</v>
      </c>
      <c r="F8" s="6">
        <v>0</v>
      </c>
      <c r="G8" s="6">
        <v>11</v>
      </c>
      <c r="H8" s="6">
        <v>0</v>
      </c>
      <c r="I8" s="39">
        <v>0</v>
      </c>
      <c r="L8" s="38" t="s">
        <v>161</v>
      </c>
      <c r="M8" s="6">
        <v>0</v>
      </c>
      <c r="N8" s="6">
        <v>110</v>
      </c>
      <c r="O8" s="6">
        <v>0</v>
      </c>
      <c r="P8" s="39">
        <v>31</v>
      </c>
      <c r="Q8" s="6">
        <v>0</v>
      </c>
      <c r="R8" s="6">
        <v>11</v>
      </c>
      <c r="S8" s="6">
        <v>0</v>
      </c>
      <c r="T8" s="39">
        <v>0</v>
      </c>
      <c r="AB8" s="535" t="s">
        <v>13</v>
      </c>
      <c r="AC8" s="46" t="s">
        <v>9</v>
      </c>
      <c r="AD8" s="46">
        <v>1.38</v>
      </c>
      <c r="AE8" s="47">
        <v>1.48</v>
      </c>
    </row>
    <row r="9" spans="1:31" ht="32">
      <c r="A9" s="40" t="s">
        <v>55</v>
      </c>
      <c r="B9" s="9">
        <v>0</v>
      </c>
      <c r="C9" s="9">
        <v>359</v>
      </c>
      <c r="D9" s="9">
        <v>0</v>
      </c>
      <c r="E9" s="41">
        <v>158</v>
      </c>
      <c r="F9" s="9">
        <v>5</v>
      </c>
      <c r="G9" s="9">
        <v>37</v>
      </c>
      <c r="H9" s="9">
        <v>0</v>
      </c>
      <c r="I9" s="41">
        <v>0</v>
      </c>
      <c r="L9" s="40" t="s">
        <v>55</v>
      </c>
      <c r="M9" s="9">
        <v>0</v>
      </c>
      <c r="N9" s="9">
        <v>356</v>
      </c>
      <c r="O9" s="9">
        <v>0</v>
      </c>
      <c r="P9" s="41">
        <v>157</v>
      </c>
      <c r="Q9" s="9">
        <v>5</v>
      </c>
      <c r="R9" s="9">
        <v>37</v>
      </c>
      <c r="S9" s="9">
        <v>0</v>
      </c>
      <c r="T9" s="41">
        <v>0</v>
      </c>
      <c r="AB9" s="536"/>
      <c r="AC9" s="46" t="s">
        <v>10</v>
      </c>
      <c r="AD9" s="46">
        <v>1.6</v>
      </c>
      <c r="AE9" s="47">
        <v>1.56</v>
      </c>
    </row>
    <row r="10" spans="1:31" ht="32">
      <c r="A10" s="40" t="s">
        <v>56</v>
      </c>
      <c r="B10" s="9">
        <v>0</v>
      </c>
      <c r="C10" s="9">
        <v>457</v>
      </c>
      <c r="D10" s="9">
        <v>0</v>
      </c>
      <c r="E10" s="41">
        <v>196</v>
      </c>
      <c r="F10" s="9">
        <v>11</v>
      </c>
      <c r="G10" s="9">
        <v>58</v>
      </c>
      <c r="H10" s="9">
        <v>25</v>
      </c>
      <c r="I10" s="41">
        <v>10</v>
      </c>
      <c r="L10" s="40" t="s">
        <v>56</v>
      </c>
      <c r="M10" s="9">
        <v>0</v>
      </c>
      <c r="N10" s="9">
        <v>455</v>
      </c>
      <c r="O10" s="9">
        <v>0</v>
      </c>
      <c r="P10" s="41">
        <v>194</v>
      </c>
      <c r="Q10" s="9">
        <v>11</v>
      </c>
      <c r="R10" s="9">
        <v>58</v>
      </c>
      <c r="S10" s="9">
        <v>25</v>
      </c>
      <c r="T10" s="41">
        <v>10</v>
      </c>
      <c r="AB10" s="535" t="s">
        <v>167</v>
      </c>
      <c r="AC10" s="46" t="s">
        <v>9</v>
      </c>
      <c r="AD10" s="46">
        <v>1.25</v>
      </c>
      <c r="AE10" s="47">
        <v>1.25</v>
      </c>
    </row>
    <row r="11" spans="1:31" ht="32">
      <c r="A11" s="40" t="s">
        <v>57</v>
      </c>
      <c r="B11" s="9">
        <v>0</v>
      </c>
      <c r="C11" s="9">
        <v>117</v>
      </c>
      <c r="D11" s="9">
        <v>0</v>
      </c>
      <c r="E11" s="41">
        <v>31</v>
      </c>
      <c r="F11" s="9">
        <v>22</v>
      </c>
      <c r="G11" s="9">
        <v>64</v>
      </c>
      <c r="H11" s="9">
        <v>55</v>
      </c>
      <c r="I11" s="41">
        <v>27</v>
      </c>
      <c r="L11" s="40" t="s">
        <v>57</v>
      </c>
      <c r="M11" s="9">
        <v>0</v>
      </c>
      <c r="N11" s="9">
        <v>116</v>
      </c>
      <c r="O11" s="9">
        <v>0</v>
      </c>
      <c r="P11" s="41">
        <v>31</v>
      </c>
      <c r="Q11" s="9">
        <v>21</v>
      </c>
      <c r="R11" s="9">
        <v>63</v>
      </c>
      <c r="S11" s="9">
        <v>54</v>
      </c>
      <c r="T11" s="41">
        <v>27</v>
      </c>
      <c r="AB11" s="536"/>
      <c r="AC11" s="46" t="s">
        <v>10</v>
      </c>
      <c r="AD11" s="46">
        <v>1.47</v>
      </c>
      <c r="AE11" s="47">
        <v>1.73</v>
      </c>
    </row>
    <row r="12" spans="1:31" ht="32">
      <c r="A12" s="40" t="s">
        <v>58</v>
      </c>
      <c r="B12" s="9">
        <v>0</v>
      </c>
      <c r="C12" s="9">
        <v>32</v>
      </c>
      <c r="D12" s="9">
        <v>0</v>
      </c>
      <c r="E12" s="41">
        <v>7</v>
      </c>
      <c r="F12" s="9">
        <v>53</v>
      </c>
      <c r="G12" s="9">
        <v>84</v>
      </c>
      <c r="H12" s="9">
        <v>83</v>
      </c>
      <c r="I12" s="41">
        <v>55</v>
      </c>
      <c r="L12" s="40" t="s">
        <v>58</v>
      </c>
      <c r="M12" s="9">
        <v>0</v>
      </c>
      <c r="N12" s="9">
        <v>32</v>
      </c>
      <c r="O12" s="9">
        <v>0</v>
      </c>
      <c r="P12" s="41">
        <v>7</v>
      </c>
      <c r="Q12" s="9">
        <v>53</v>
      </c>
      <c r="R12" s="9">
        <v>84</v>
      </c>
      <c r="S12" s="9">
        <v>82</v>
      </c>
      <c r="T12" s="41">
        <v>54</v>
      </c>
      <c r="AB12" s="535" t="s">
        <v>168</v>
      </c>
      <c r="AC12" s="46" t="s">
        <v>9</v>
      </c>
      <c r="AD12" s="46">
        <v>1.35</v>
      </c>
      <c r="AE12" s="47">
        <v>1.4</v>
      </c>
    </row>
    <row r="13" spans="1:31" ht="32">
      <c r="A13" s="40" t="s">
        <v>59</v>
      </c>
      <c r="B13" s="9">
        <v>0</v>
      </c>
      <c r="C13" s="9">
        <v>6</v>
      </c>
      <c r="D13" s="9">
        <v>0</v>
      </c>
      <c r="E13" s="41">
        <v>0</v>
      </c>
      <c r="F13" s="9">
        <v>69</v>
      </c>
      <c r="G13" s="9">
        <v>84</v>
      </c>
      <c r="H13" s="9">
        <v>87</v>
      </c>
      <c r="I13" s="41">
        <v>78</v>
      </c>
      <c r="L13" s="40" t="s">
        <v>59</v>
      </c>
      <c r="M13" s="9">
        <v>0</v>
      </c>
      <c r="N13" s="9">
        <v>6</v>
      </c>
      <c r="O13" s="9">
        <v>0</v>
      </c>
      <c r="P13" s="41">
        <v>0</v>
      </c>
      <c r="Q13" s="9">
        <v>68</v>
      </c>
      <c r="R13" s="9">
        <v>84</v>
      </c>
      <c r="S13" s="9">
        <v>86</v>
      </c>
      <c r="T13" s="41">
        <v>77</v>
      </c>
      <c r="AB13" s="536"/>
      <c r="AC13" s="46" t="s">
        <v>10</v>
      </c>
      <c r="AD13" s="46">
        <v>1.6</v>
      </c>
      <c r="AE13" s="47">
        <v>1.73</v>
      </c>
    </row>
    <row r="14" spans="1:31" ht="32">
      <c r="A14" s="40" t="s">
        <v>60</v>
      </c>
      <c r="B14" s="9">
        <v>0</v>
      </c>
      <c r="C14" s="9">
        <v>0</v>
      </c>
      <c r="D14" s="9">
        <v>2</v>
      </c>
      <c r="E14" s="41">
        <v>0</v>
      </c>
      <c r="F14" s="9">
        <v>74</v>
      </c>
      <c r="G14" s="9">
        <v>89</v>
      </c>
      <c r="H14" s="9">
        <v>88</v>
      </c>
      <c r="I14" s="41">
        <v>83</v>
      </c>
      <c r="L14" s="40" t="s">
        <v>60</v>
      </c>
      <c r="M14" s="9">
        <v>0</v>
      </c>
      <c r="N14" s="9">
        <v>0</v>
      </c>
      <c r="O14" s="9">
        <v>2</v>
      </c>
      <c r="P14" s="41">
        <v>0</v>
      </c>
      <c r="Q14" s="9">
        <v>73</v>
      </c>
      <c r="R14" s="9">
        <v>89</v>
      </c>
      <c r="S14" s="9">
        <v>87</v>
      </c>
      <c r="T14" s="41">
        <v>82</v>
      </c>
      <c r="AB14" s="535" t="s">
        <v>47</v>
      </c>
      <c r="AC14" s="46" t="s">
        <v>9</v>
      </c>
      <c r="AD14" s="46">
        <v>1.33</v>
      </c>
      <c r="AE14" s="47">
        <v>1.55</v>
      </c>
    </row>
    <row r="15" spans="1:31" ht="32">
      <c r="A15" s="40" t="s">
        <v>61</v>
      </c>
      <c r="B15" s="9">
        <v>0</v>
      </c>
      <c r="C15" s="9">
        <v>0</v>
      </c>
      <c r="D15" s="9">
        <v>8</v>
      </c>
      <c r="E15" s="41">
        <v>0</v>
      </c>
      <c r="F15" s="9">
        <v>95</v>
      </c>
      <c r="G15" s="9">
        <v>100</v>
      </c>
      <c r="H15" s="9">
        <v>102</v>
      </c>
      <c r="I15" s="41">
        <v>94</v>
      </c>
      <c r="L15" s="40" t="s">
        <v>61</v>
      </c>
      <c r="M15" s="9">
        <v>0</v>
      </c>
      <c r="N15" s="9">
        <v>0</v>
      </c>
      <c r="O15" s="9">
        <v>8</v>
      </c>
      <c r="P15" s="41">
        <v>0</v>
      </c>
      <c r="Q15" s="9">
        <v>95</v>
      </c>
      <c r="R15" s="9">
        <v>99</v>
      </c>
      <c r="S15" s="9">
        <v>102</v>
      </c>
      <c r="T15" s="41">
        <v>94</v>
      </c>
      <c r="AB15" s="536"/>
      <c r="AC15" s="46" t="s">
        <v>10</v>
      </c>
      <c r="AD15" s="46">
        <v>1.43</v>
      </c>
      <c r="AE15" s="47">
        <v>1.54</v>
      </c>
    </row>
    <row r="16" spans="1:31" ht="32">
      <c r="A16" s="40" t="s">
        <v>62</v>
      </c>
      <c r="B16" s="9">
        <v>0</v>
      </c>
      <c r="C16" s="9">
        <v>0</v>
      </c>
      <c r="D16" s="9">
        <v>14</v>
      </c>
      <c r="E16" s="41">
        <v>0</v>
      </c>
      <c r="F16" s="9">
        <v>106</v>
      </c>
      <c r="G16" s="9">
        <v>95</v>
      </c>
      <c r="H16" s="9">
        <v>114</v>
      </c>
      <c r="I16" s="41">
        <v>103</v>
      </c>
      <c r="L16" s="40" t="s">
        <v>62</v>
      </c>
      <c r="M16" s="9">
        <v>0</v>
      </c>
      <c r="N16" s="9">
        <v>0</v>
      </c>
      <c r="O16" s="9">
        <v>14</v>
      </c>
      <c r="P16" s="41">
        <v>0</v>
      </c>
      <c r="Q16" s="9">
        <v>105</v>
      </c>
      <c r="R16" s="9">
        <v>95</v>
      </c>
      <c r="S16" s="9">
        <v>113</v>
      </c>
      <c r="T16" s="41">
        <v>103</v>
      </c>
      <c r="AB16" s="535" t="s">
        <v>169</v>
      </c>
      <c r="AC16" s="46" t="s">
        <v>9</v>
      </c>
      <c r="AD16" s="46">
        <v>1.33</v>
      </c>
      <c r="AE16" s="47">
        <v>1.55</v>
      </c>
    </row>
    <row r="17" spans="1:64" ht="32">
      <c r="A17" s="40" t="s">
        <v>63</v>
      </c>
      <c r="B17" s="9">
        <v>0</v>
      </c>
      <c r="C17" s="9">
        <v>0</v>
      </c>
      <c r="D17" s="9">
        <v>26</v>
      </c>
      <c r="E17" s="41">
        <v>0</v>
      </c>
      <c r="F17" s="9">
        <v>110</v>
      </c>
      <c r="G17" s="9">
        <v>84</v>
      </c>
      <c r="H17" s="9">
        <v>110</v>
      </c>
      <c r="I17" s="41">
        <v>107</v>
      </c>
      <c r="L17" s="40" t="s">
        <v>63</v>
      </c>
      <c r="M17" s="9">
        <v>0</v>
      </c>
      <c r="N17" s="9">
        <v>0</v>
      </c>
      <c r="O17" s="9">
        <v>26</v>
      </c>
      <c r="P17" s="41">
        <v>0</v>
      </c>
      <c r="Q17" s="9">
        <v>110</v>
      </c>
      <c r="R17" s="9">
        <v>84</v>
      </c>
      <c r="S17" s="9">
        <v>109</v>
      </c>
      <c r="T17" s="41">
        <v>106</v>
      </c>
      <c r="AB17" s="536"/>
      <c r="AC17" s="46" t="s">
        <v>10</v>
      </c>
      <c r="AD17" s="46">
        <v>1.43</v>
      </c>
      <c r="AE17" s="47">
        <v>1.54</v>
      </c>
    </row>
    <row r="18" spans="1:64" ht="32">
      <c r="A18" s="40" t="s">
        <v>64</v>
      </c>
      <c r="B18" s="9">
        <v>10</v>
      </c>
      <c r="C18" s="9">
        <v>0</v>
      </c>
      <c r="D18" s="9">
        <v>47</v>
      </c>
      <c r="E18" s="41">
        <v>0</v>
      </c>
      <c r="F18" s="9">
        <v>120</v>
      </c>
      <c r="G18" s="9">
        <v>85</v>
      </c>
      <c r="H18" s="9">
        <v>107</v>
      </c>
      <c r="I18" s="41">
        <v>117</v>
      </c>
      <c r="L18" s="40" t="s">
        <v>64</v>
      </c>
      <c r="M18" s="9">
        <v>10</v>
      </c>
      <c r="N18" s="9">
        <v>0</v>
      </c>
      <c r="O18" s="9">
        <v>46</v>
      </c>
      <c r="P18" s="41">
        <v>0</v>
      </c>
      <c r="Q18" s="9">
        <v>120</v>
      </c>
      <c r="R18" s="9">
        <v>83</v>
      </c>
      <c r="S18" s="9">
        <v>108</v>
      </c>
      <c r="T18" s="41">
        <v>117</v>
      </c>
      <c r="AB18" s="535" t="s">
        <v>170</v>
      </c>
      <c r="AC18" s="46" t="s">
        <v>9</v>
      </c>
      <c r="AD18" s="46">
        <v>1.33</v>
      </c>
      <c r="AE18" s="47">
        <v>1.55</v>
      </c>
    </row>
    <row r="19" spans="1:64" ht="32">
      <c r="A19" s="40" t="s">
        <v>65</v>
      </c>
      <c r="B19" s="9">
        <v>62</v>
      </c>
      <c r="C19" s="9">
        <v>0</v>
      </c>
      <c r="D19" s="9">
        <v>83</v>
      </c>
      <c r="E19" s="41">
        <v>0</v>
      </c>
      <c r="F19" s="9">
        <v>95</v>
      </c>
      <c r="G19" s="9">
        <v>80</v>
      </c>
      <c r="H19" s="9">
        <v>87</v>
      </c>
      <c r="I19" s="41">
        <v>113</v>
      </c>
      <c r="L19" s="40" t="s">
        <v>65</v>
      </c>
      <c r="M19" s="9">
        <v>61</v>
      </c>
      <c r="N19" s="9">
        <v>0</v>
      </c>
      <c r="O19" s="9">
        <v>81</v>
      </c>
      <c r="P19" s="41">
        <v>0</v>
      </c>
      <c r="Q19" s="9">
        <v>95</v>
      </c>
      <c r="R19" s="9">
        <v>78</v>
      </c>
      <c r="S19" s="9">
        <v>86</v>
      </c>
      <c r="T19" s="41">
        <v>113</v>
      </c>
      <c r="AB19" s="536"/>
      <c r="AC19" s="46" t="s">
        <v>10</v>
      </c>
      <c r="AD19" s="46">
        <v>1.43</v>
      </c>
      <c r="AE19" s="47">
        <v>1.54</v>
      </c>
    </row>
    <row r="20" spans="1:64" ht="32">
      <c r="A20" s="40" t="s">
        <v>66</v>
      </c>
      <c r="B20" s="9">
        <v>253</v>
      </c>
      <c r="C20" s="9">
        <v>0</v>
      </c>
      <c r="D20" s="9">
        <v>91</v>
      </c>
      <c r="E20" s="41">
        <v>0</v>
      </c>
      <c r="F20" s="9">
        <v>100</v>
      </c>
      <c r="G20" s="9">
        <v>58</v>
      </c>
      <c r="H20" s="9">
        <v>75</v>
      </c>
      <c r="I20" s="41">
        <v>82</v>
      </c>
      <c r="L20" s="40" t="s">
        <v>66</v>
      </c>
      <c r="M20" s="9">
        <v>253</v>
      </c>
      <c r="N20" s="9">
        <v>0</v>
      </c>
      <c r="O20" s="9">
        <v>91</v>
      </c>
      <c r="P20" s="41">
        <v>0</v>
      </c>
      <c r="Q20" s="9">
        <v>99</v>
      </c>
      <c r="R20" s="9">
        <v>58</v>
      </c>
      <c r="S20" s="9">
        <v>75</v>
      </c>
      <c r="T20" s="41">
        <v>81</v>
      </c>
      <c r="AB20" s="535" t="s">
        <v>171</v>
      </c>
      <c r="AC20" s="46" t="s">
        <v>9</v>
      </c>
      <c r="AD20" s="46">
        <v>1.27</v>
      </c>
      <c r="AE20" s="47">
        <v>1.35</v>
      </c>
    </row>
    <row r="21" spans="1:64" ht="32.5" thickBot="1">
      <c r="A21" s="40" t="s">
        <v>67</v>
      </c>
      <c r="B21" s="9">
        <v>335</v>
      </c>
      <c r="C21" s="9">
        <v>0</v>
      </c>
      <c r="D21" s="9">
        <v>65</v>
      </c>
      <c r="E21" s="41">
        <v>0</v>
      </c>
      <c r="F21" s="9">
        <v>74</v>
      </c>
      <c r="G21" s="9">
        <v>31</v>
      </c>
      <c r="H21" s="9">
        <v>69</v>
      </c>
      <c r="I21" s="41">
        <v>79</v>
      </c>
      <c r="L21" s="40" t="s">
        <v>67</v>
      </c>
      <c r="M21" s="9">
        <v>333</v>
      </c>
      <c r="N21" s="9">
        <v>0</v>
      </c>
      <c r="O21" s="9">
        <v>65</v>
      </c>
      <c r="P21" s="41">
        <v>0</v>
      </c>
      <c r="Q21" s="9">
        <v>73</v>
      </c>
      <c r="R21" s="9">
        <v>31</v>
      </c>
      <c r="S21" s="9">
        <v>69</v>
      </c>
      <c r="T21" s="41">
        <v>78</v>
      </c>
      <c r="AB21" s="537"/>
      <c r="AC21" s="48" t="s">
        <v>10</v>
      </c>
      <c r="AD21" s="48">
        <v>1.27</v>
      </c>
      <c r="AE21" s="49">
        <v>1.35</v>
      </c>
    </row>
    <row r="22" spans="1:64" ht="32.5" thickTop="1">
      <c r="A22" s="40" t="s">
        <v>68</v>
      </c>
      <c r="B22" s="9">
        <v>277</v>
      </c>
      <c r="C22" s="9">
        <v>0</v>
      </c>
      <c r="D22" s="9">
        <v>48</v>
      </c>
      <c r="E22" s="41">
        <v>0</v>
      </c>
      <c r="F22" s="9">
        <v>31</v>
      </c>
      <c r="G22" s="9">
        <v>16</v>
      </c>
      <c r="H22" s="9">
        <v>30</v>
      </c>
      <c r="I22" s="41">
        <v>61</v>
      </c>
      <c r="L22" s="40" t="s">
        <v>68</v>
      </c>
      <c r="M22" s="9">
        <v>275</v>
      </c>
      <c r="N22" s="9">
        <v>0</v>
      </c>
      <c r="O22" s="9">
        <v>48</v>
      </c>
      <c r="P22" s="41">
        <v>0</v>
      </c>
      <c r="Q22" s="9">
        <v>31</v>
      </c>
      <c r="R22" s="9">
        <v>16</v>
      </c>
      <c r="S22" s="9">
        <v>30</v>
      </c>
      <c r="T22" s="41">
        <v>61</v>
      </c>
    </row>
    <row r="23" spans="1:64">
      <c r="A23" s="40" t="s">
        <v>162</v>
      </c>
      <c r="B23" s="9">
        <v>144</v>
      </c>
      <c r="C23" s="9">
        <v>0</v>
      </c>
      <c r="D23" s="9">
        <v>39</v>
      </c>
      <c r="E23" s="41">
        <v>0</v>
      </c>
      <c r="F23" s="9">
        <v>16</v>
      </c>
      <c r="G23" s="9">
        <v>5</v>
      </c>
      <c r="H23" s="9">
        <v>2</v>
      </c>
      <c r="I23" s="41">
        <v>25</v>
      </c>
      <c r="L23" s="40" t="s">
        <v>162</v>
      </c>
      <c r="M23" s="9">
        <v>143</v>
      </c>
      <c r="N23" s="9">
        <v>0</v>
      </c>
      <c r="O23" s="9">
        <v>39</v>
      </c>
      <c r="P23" s="41">
        <v>0</v>
      </c>
      <c r="Q23" s="9">
        <v>16</v>
      </c>
      <c r="R23" s="9">
        <v>5</v>
      </c>
      <c r="S23" s="9">
        <v>2</v>
      </c>
      <c r="T23" s="41">
        <v>25</v>
      </c>
    </row>
    <row r="24" spans="1:64" ht="17.5" thickBot="1">
      <c r="A24" s="42" t="s">
        <v>160</v>
      </c>
      <c r="B24" s="17">
        <v>1081</v>
      </c>
      <c r="C24" s="17">
        <v>1081</v>
      </c>
      <c r="D24" s="16">
        <v>423</v>
      </c>
      <c r="E24" s="55">
        <v>423</v>
      </c>
      <c r="F24" s="16">
        <v>981</v>
      </c>
      <c r="G24" s="16">
        <v>981</v>
      </c>
      <c r="H24" s="17">
        <v>1034</v>
      </c>
      <c r="I24" s="43">
        <v>1034</v>
      </c>
      <c r="L24" s="42" t="s">
        <v>160</v>
      </c>
      <c r="M24" s="17">
        <v>1075</v>
      </c>
      <c r="N24" s="17">
        <v>1075</v>
      </c>
      <c r="O24" s="16">
        <v>420</v>
      </c>
      <c r="P24" s="55">
        <v>420</v>
      </c>
      <c r="Q24" s="16">
        <v>975</v>
      </c>
      <c r="R24" s="16">
        <v>975</v>
      </c>
      <c r="S24" s="17">
        <v>1028</v>
      </c>
      <c r="T24" s="43">
        <v>1028</v>
      </c>
    </row>
    <row r="25" spans="1:64" ht="18" thickTop="1" thickBot="1"/>
    <row r="26" spans="1:64" ht="17.5" thickTop="1">
      <c r="A26" s="544" t="s">
        <v>39</v>
      </c>
      <c r="B26" s="547" t="s">
        <v>155</v>
      </c>
      <c r="C26" s="548"/>
      <c r="D26" s="548"/>
      <c r="E26" s="548"/>
      <c r="F26" s="548"/>
      <c r="G26" s="548"/>
      <c r="H26" s="548"/>
      <c r="I26" s="548"/>
      <c r="J26" s="548"/>
      <c r="K26" s="548"/>
      <c r="L26" s="548"/>
      <c r="N26" s="544" t="s">
        <v>39</v>
      </c>
      <c r="O26" s="547" t="s">
        <v>179</v>
      </c>
      <c r="P26" s="548"/>
      <c r="Q26" s="548"/>
      <c r="R26" s="548"/>
      <c r="S26" s="548"/>
      <c r="T26" s="548"/>
      <c r="U26" s="548"/>
      <c r="V26" s="548"/>
      <c r="W26" s="548"/>
      <c r="X26" s="548"/>
      <c r="Y26" s="548"/>
      <c r="AA26" s="544" t="s">
        <v>39</v>
      </c>
      <c r="AB26" s="547" t="s">
        <v>183</v>
      </c>
      <c r="AC26" s="548"/>
      <c r="AD26" s="548"/>
      <c r="AE26" s="548"/>
      <c r="AF26" s="548"/>
      <c r="AG26" s="548"/>
      <c r="AH26" s="548"/>
      <c r="AI26" s="548"/>
      <c r="AJ26" s="548"/>
      <c r="AK26" s="548"/>
      <c r="AL26" s="548"/>
      <c r="AN26" s="544" t="s">
        <v>39</v>
      </c>
      <c r="AO26" s="547" t="s">
        <v>184</v>
      </c>
      <c r="AP26" s="548"/>
      <c r="AQ26" s="548"/>
      <c r="AR26" s="548"/>
      <c r="AS26" s="548"/>
      <c r="AT26" s="548"/>
      <c r="AU26" s="548"/>
      <c r="AV26" s="548"/>
      <c r="AW26" s="548"/>
      <c r="AX26" s="548"/>
      <c r="AY26" s="548"/>
      <c r="BA26" s="544" t="s">
        <v>39</v>
      </c>
      <c r="BB26" s="547" t="s">
        <v>12</v>
      </c>
      <c r="BC26" s="548"/>
      <c r="BD26" s="548"/>
      <c r="BE26" s="548"/>
      <c r="BF26" s="548"/>
      <c r="BG26" s="548"/>
      <c r="BH26" s="548"/>
      <c r="BI26" s="548"/>
      <c r="BJ26" s="548"/>
      <c r="BK26" s="548"/>
      <c r="BL26" s="548"/>
    </row>
    <row r="27" spans="1:64">
      <c r="A27" s="641"/>
      <c r="B27" s="550" t="s">
        <v>156</v>
      </c>
      <c r="C27" s="551"/>
      <c r="D27" s="550" t="s">
        <v>157</v>
      </c>
      <c r="E27" s="551"/>
      <c r="F27" s="550" t="s">
        <v>158</v>
      </c>
      <c r="G27" s="551"/>
      <c r="H27" s="550" t="s">
        <v>159</v>
      </c>
      <c r="I27" s="551"/>
      <c r="J27" s="550" t="s">
        <v>160</v>
      </c>
      <c r="K27" s="552"/>
      <c r="L27" s="552"/>
      <c r="N27" s="641"/>
      <c r="O27" s="550" t="s">
        <v>156</v>
      </c>
      <c r="P27" s="551"/>
      <c r="Q27" s="550" t="s">
        <v>157</v>
      </c>
      <c r="R27" s="551"/>
      <c r="S27" s="550" t="s">
        <v>158</v>
      </c>
      <c r="T27" s="551"/>
      <c r="U27" s="550" t="s">
        <v>159</v>
      </c>
      <c r="V27" s="551"/>
      <c r="W27" s="550" t="s">
        <v>160</v>
      </c>
      <c r="X27" s="552"/>
      <c r="Y27" s="552"/>
      <c r="AA27" s="641"/>
      <c r="AB27" s="550" t="s">
        <v>156</v>
      </c>
      <c r="AC27" s="551"/>
      <c r="AD27" s="550" t="s">
        <v>157</v>
      </c>
      <c r="AE27" s="551"/>
      <c r="AF27" s="550" t="s">
        <v>158</v>
      </c>
      <c r="AG27" s="551"/>
      <c r="AH27" s="550" t="s">
        <v>159</v>
      </c>
      <c r="AI27" s="551"/>
      <c r="AJ27" s="550" t="s">
        <v>160</v>
      </c>
      <c r="AK27" s="552"/>
      <c r="AL27" s="552"/>
      <c r="AN27" s="641"/>
      <c r="AO27" s="550" t="s">
        <v>156</v>
      </c>
      <c r="AP27" s="551"/>
      <c r="AQ27" s="550" t="s">
        <v>157</v>
      </c>
      <c r="AR27" s="551"/>
      <c r="AS27" s="550" t="s">
        <v>158</v>
      </c>
      <c r="AT27" s="551"/>
      <c r="AU27" s="550" t="s">
        <v>159</v>
      </c>
      <c r="AV27" s="551"/>
      <c r="AW27" s="550" t="s">
        <v>160</v>
      </c>
      <c r="AX27" s="552"/>
      <c r="AY27" s="552"/>
      <c r="BA27" s="641"/>
      <c r="BB27" s="550" t="s">
        <v>156</v>
      </c>
      <c r="BC27" s="551"/>
      <c r="BD27" s="550" t="s">
        <v>157</v>
      </c>
      <c r="BE27" s="551"/>
      <c r="BF27" s="550" t="s">
        <v>158</v>
      </c>
      <c r="BG27" s="551"/>
      <c r="BH27" s="550" t="s">
        <v>159</v>
      </c>
      <c r="BI27" s="551"/>
      <c r="BJ27" s="550" t="s">
        <v>160</v>
      </c>
      <c r="BK27" s="552"/>
      <c r="BL27" s="552"/>
    </row>
    <row r="28" spans="1:64" ht="17.5" thickBot="1">
      <c r="A28" s="546"/>
      <c r="B28" s="36" t="s">
        <v>40</v>
      </c>
      <c r="C28" s="36" t="s">
        <v>41</v>
      </c>
      <c r="D28" s="36" t="s">
        <v>40</v>
      </c>
      <c r="E28" s="36" t="s">
        <v>41</v>
      </c>
      <c r="F28" s="36" t="s">
        <v>40</v>
      </c>
      <c r="G28" s="36" t="s">
        <v>41</v>
      </c>
      <c r="H28" s="36" t="s">
        <v>40</v>
      </c>
      <c r="I28" s="36" t="s">
        <v>41</v>
      </c>
      <c r="J28" s="36" t="s">
        <v>40</v>
      </c>
      <c r="K28" s="36" t="s">
        <v>41</v>
      </c>
      <c r="L28" s="37" t="s">
        <v>21</v>
      </c>
      <c r="N28" s="546"/>
      <c r="O28" s="36" t="s">
        <v>40</v>
      </c>
      <c r="P28" s="36" t="s">
        <v>41</v>
      </c>
      <c r="Q28" s="36" t="s">
        <v>40</v>
      </c>
      <c r="R28" s="36" t="s">
        <v>41</v>
      </c>
      <c r="S28" s="36" t="s">
        <v>40</v>
      </c>
      <c r="T28" s="36" t="s">
        <v>41</v>
      </c>
      <c r="U28" s="36" t="s">
        <v>40</v>
      </c>
      <c r="V28" s="36" t="s">
        <v>41</v>
      </c>
      <c r="W28" s="36" t="s">
        <v>40</v>
      </c>
      <c r="X28" s="36" t="s">
        <v>41</v>
      </c>
      <c r="Y28" s="37" t="s">
        <v>21</v>
      </c>
      <c r="AA28" s="546"/>
      <c r="AB28" s="36" t="s">
        <v>40</v>
      </c>
      <c r="AC28" s="36" t="s">
        <v>41</v>
      </c>
      <c r="AD28" s="36" t="s">
        <v>40</v>
      </c>
      <c r="AE28" s="36" t="s">
        <v>41</v>
      </c>
      <c r="AF28" s="36" t="s">
        <v>40</v>
      </c>
      <c r="AG28" s="36" t="s">
        <v>41</v>
      </c>
      <c r="AH28" s="36" t="s">
        <v>40</v>
      </c>
      <c r="AI28" s="36" t="s">
        <v>41</v>
      </c>
      <c r="AJ28" s="36" t="s">
        <v>40</v>
      </c>
      <c r="AK28" s="36" t="s">
        <v>41</v>
      </c>
      <c r="AL28" s="37" t="s">
        <v>21</v>
      </c>
      <c r="AN28" s="546"/>
      <c r="AO28" s="36" t="s">
        <v>40</v>
      </c>
      <c r="AP28" s="36" t="s">
        <v>41</v>
      </c>
      <c r="AQ28" s="36" t="s">
        <v>40</v>
      </c>
      <c r="AR28" s="36" t="s">
        <v>41</v>
      </c>
      <c r="AS28" s="36" t="s">
        <v>40</v>
      </c>
      <c r="AT28" s="36" t="s">
        <v>41</v>
      </c>
      <c r="AU28" s="36" t="s">
        <v>40</v>
      </c>
      <c r="AV28" s="36" t="s">
        <v>41</v>
      </c>
      <c r="AW28" s="36" t="s">
        <v>40</v>
      </c>
      <c r="AX28" s="36" t="s">
        <v>41</v>
      </c>
      <c r="AY28" s="37" t="s">
        <v>21</v>
      </c>
      <c r="BA28" s="546"/>
      <c r="BB28" s="36" t="s">
        <v>40</v>
      </c>
      <c r="BC28" s="36" t="s">
        <v>41</v>
      </c>
      <c r="BD28" s="36" t="s">
        <v>40</v>
      </c>
      <c r="BE28" s="36" t="s">
        <v>41</v>
      </c>
      <c r="BF28" s="36" t="s">
        <v>40</v>
      </c>
      <c r="BG28" s="36" t="s">
        <v>41</v>
      </c>
      <c r="BH28" s="36" t="s">
        <v>40</v>
      </c>
      <c r="BI28" s="36" t="s">
        <v>41</v>
      </c>
      <c r="BJ28" s="36" t="s">
        <v>40</v>
      </c>
      <c r="BK28" s="36" t="s">
        <v>41</v>
      </c>
      <c r="BL28" s="37" t="s">
        <v>21</v>
      </c>
    </row>
    <row r="29" spans="1:64" ht="17.5" thickTop="1">
      <c r="A29" s="38" t="s">
        <v>161</v>
      </c>
      <c r="B29" s="6">
        <v>0</v>
      </c>
      <c r="C29" s="6">
        <v>49</v>
      </c>
      <c r="D29" s="6">
        <v>0</v>
      </c>
      <c r="E29" s="6">
        <v>8</v>
      </c>
      <c r="F29" s="6">
        <v>0</v>
      </c>
      <c r="G29" s="6">
        <v>61</v>
      </c>
      <c r="H29" s="6">
        <v>0</v>
      </c>
      <c r="I29" s="6">
        <v>34</v>
      </c>
      <c r="J29" s="6">
        <v>0</v>
      </c>
      <c r="K29" s="6">
        <v>152</v>
      </c>
      <c r="L29" s="39">
        <v>152</v>
      </c>
      <c r="N29" s="38" t="s">
        <v>161</v>
      </c>
      <c r="O29" s="6">
        <v>0</v>
      </c>
      <c r="P29" s="6">
        <v>50</v>
      </c>
      <c r="Q29" s="6">
        <v>0</v>
      </c>
      <c r="R29" s="6">
        <v>8</v>
      </c>
      <c r="S29" s="6">
        <v>0</v>
      </c>
      <c r="T29" s="6">
        <v>61</v>
      </c>
      <c r="U29" s="6">
        <v>0</v>
      </c>
      <c r="V29" s="6">
        <v>33</v>
      </c>
      <c r="W29" s="6">
        <v>0</v>
      </c>
      <c r="X29" s="6">
        <v>152</v>
      </c>
      <c r="Y29" s="39">
        <v>152</v>
      </c>
      <c r="AA29" s="38" t="s">
        <v>161</v>
      </c>
      <c r="AB29" s="6">
        <v>0</v>
      </c>
      <c r="AC29" s="6">
        <v>41</v>
      </c>
      <c r="AD29" s="6">
        <v>0</v>
      </c>
      <c r="AE29" s="6">
        <v>7</v>
      </c>
      <c r="AF29" s="6">
        <v>0</v>
      </c>
      <c r="AG29" s="6">
        <v>49</v>
      </c>
      <c r="AH29" s="6">
        <v>0</v>
      </c>
      <c r="AI29" s="6">
        <v>27</v>
      </c>
      <c r="AJ29" s="6">
        <v>0</v>
      </c>
      <c r="AK29" s="6">
        <v>124</v>
      </c>
      <c r="AL29" s="39">
        <v>124</v>
      </c>
      <c r="AN29" s="38" t="s">
        <v>161</v>
      </c>
      <c r="AO29" s="6">
        <v>0</v>
      </c>
      <c r="AP29" s="44">
        <v>41</v>
      </c>
      <c r="AQ29" s="6">
        <v>0</v>
      </c>
      <c r="AR29" s="44">
        <v>7</v>
      </c>
      <c r="AS29" s="6">
        <v>0</v>
      </c>
      <c r="AT29" s="44">
        <v>51</v>
      </c>
      <c r="AU29" s="6">
        <v>0</v>
      </c>
      <c r="AV29" s="44">
        <v>28</v>
      </c>
      <c r="AW29" s="6">
        <v>0</v>
      </c>
      <c r="AX29" s="44">
        <v>127</v>
      </c>
      <c r="AY29" s="45">
        <v>127</v>
      </c>
      <c r="BA29" s="38" t="s">
        <v>161</v>
      </c>
      <c r="BB29" s="6">
        <v>0</v>
      </c>
      <c r="BC29" s="44">
        <v>6</v>
      </c>
      <c r="BD29" s="6">
        <v>0</v>
      </c>
      <c r="BE29" s="6">
        <v>0</v>
      </c>
      <c r="BF29" s="6">
        <v>0</v>
      </c>
      <c r="BG29" s="44">
        <v>8</v>
      </c>
      <c r="BH29" s="6">
        <v>0</v>
      </c>
      <c r="BI29" s="44">
        <v>4</v>
      </c>
      <c r="BJ29" s="6">
        <v>0</v>
      </c>
      <c r="BK29" s="44">
        <v>18</v>
      </c>
      <c r="BL29" s="45">
        <v>18</v>
      </c>
    </row>
    <row r="30" spans="1:64" ht="32">
      <c r="A30" s="40" t="s">
        <v>55</v>
      </c>
      <c r="B30" s="9">
        <v>1</v>
      </c>
      <c r="C30" s="9">
        <v>166</v>
      </c>
      <c r="D30" s="9">
        <v>0</v>
      </c>
      <c r="E30" s="9">
        <v>28</v>
      </c>
      <c r="F30" s="9">
        <v>3</v>
      </c>
      <c r="G30" s="9">
        <v>220</v>
      </c>
      <c r="H30" s="9">
        <v>1</v>
      </c>
      <c r="I30" s="9">
        <v>140</v>
      </c>
      <c r="J30" s="9">
        <v>5</v>
      </c>
      <c r="K30" s="9">
        <v>554</v>
      </c>
      <c r="L30" s="41">
        <v>559</v>
      </c>
      <c r="N30" s="40" t="s">
        <v>55</v>
      </c>
      <c r="O30" s="9">
        <v>1</v>
      </c>
      <c r="P30" s="9">
        <v>165</v>
      </c>
      <c r="Q30" s="9">
        <v>0</v>
      </c>
      <c r="R30" s="9">
        <v>28</v>
      </c>
      <c r="S30" s="9">
        <v>3</v>
      </c>
      <c r="T30" s="9">
        <v>219</v>
      </c>
      <c r="U30" s="9">
        <v>1</v>
      </c>
      <c r="V30" s="9">
        <v>138</v>
      </c>
      <c r="W30" s="9">
        <v>5</v>
      </c>
      <c r="X30" s="9">
        <v>550</v>
      </c>
      <c r="Y30" s="41">
        <v>555</v>
      </c>
      <c r="AA30" s="40" t="s">
        <v>55</v>
      </c>
      <c r="AB30" s="9">
        <v>1</v>
      </c>
      <c r="AC30" s="9">
        <v>135</v>
      </c>
      <c r="AD30" s="9">
        <v>0</v>
      </c>
      <c r="AE30" s="9">
        <v>23</v>
      </c>
      <c r="AF30" s="9">
        <v>2</v>
      </c>
      <c r="AG30" s="9">
        <v>179</v>
      </c>
      <c r="AH30" s="9">
        <v>1</v>
      </c>
      <c r="AI30" s="9">
        <v>114</v>
      </c>
      <c r="AJ30" s="9">
        <v>4</v>
      </c>
      <c r="AK30" s="9">
        <v>451</v>
      </c>
      <c r="AL30" s="41">
        <v>455</v>
      </c>
      <c r="AN30" s="40" t="s">
        <v>55</v>
      </c>
      <c r="AO30" s="46">
        <v>1</v>
      </c>
      <c r="AP30" s="46">
        <v>138</v>
      </c>
      <c r="AQ30" s="9">
        <v>0</v>
      </c>
      <c r="AR30" s="46">
        <v>23</v>
      </c>
      <c r="AS30" s="46">
        <v>2</v>
      </c>
      <c r="AT30" s="46">
        <v>182</v>
      </c>
      <c r="AU30" s="46">
        <v>1</v>
      </c>
      <c r="AV30" s="46">
        <v>116</v>
      </c>
      <c r="AW30" s="46">
        <v>4</v>
      </c>
      <c r="AX30" s="46">
        <v>459</v>
      </c>
      <c r="AY30" s="47">
        <v>463</v>
      </c>
      <c r="BA30" s="40" t="s">
        <v>55</v>
      </c>
      <c r="BB30" s="9">
        <v>0</v>
      </c>
      <c r="BC30" s="46">
        <v>18</v>
      </c>
      <c r="BD30" s="9">
        <v>0</v>
      </c>
      <c r="BE30" s="46">
        <v>2</v>
      </c>
      <c r="BF30" s="9">
        <v>0</v>
      </c>
      <c r="BG30" s="46">
        <v>24</v>
      </c>
      <c r="BH30" s="9">
        <v>0</v>
      </c>
      <c r="BI30" s="46">
        <v>14</v>
      </c>
      <c r="BJ30" s="9">
        <v>0</v>
      </c>
      <c r="BK30" s="46">
        <v>58</v>
      </c>
      <c r="BL30" s="47">
        <v>58</v>
      </c>
    </row>
    <row r="31" spans="1:64" ht="32">
      <c r="A31" s="40" t="s">
        <v>56</v>
      </c>
      <c r="B31" s="9">
        <v>9</v>
      </c>
      <c r="C31" s="9">
        <v>217</v>
      </c>
      <c r="D31" s="9">
        <v>3</v>
      </c>
      <c r="E31" s="9">
        <v>37</v>
      </c>
      <c r="F31" s="9">
        <v>15</v>
      </c>
      <c r="G31" s="9">
        <v>287</v>
      </c>
      <c r="H31" s="9">
        <v>9</v>
      </c>
      <c r="I31" s="9">
        <v>180</v>
      </c>
      <c r="J31" s="9">
        <v>36</v>
      </c>
      <c r="K31" s="9">
        <v>721</v>
      </c>
      <c r="L31" s="41">
        <v>757</v>
      </c>
      <c r="N31" s="40" t="s">
        <v>56</v>
      </c>
      <c r="O31" s="9">
        <v>9</v>
      </c>
      <c r="P31" s="9">
        <v>216</v>
      </c>
      <c r="Q31" s="9">
        <v>3</v>
      </c>
      <c r="R31" s="9">
        <v>37</v>
      </c>
      <c r="S31" s="9">
        <v>15</v>
      </c>
      <c r="T31" s="9">
        <v>285</v>
      </c>
      <c r="U31" s="9">
        <v>9</v>
      </c>
      <c r="V31" s="9">
        <v>179</v>
      </c>
      <c r="W31" s="9">
        <v>36</v>
      </c>
      <c r="X31" s="9">
        <v>717</v>
      </c>
      <c r="Y31" s="41">
        <v>753</v>
      </c>
      <c r="AA31" s="40" t="s">
        <v>56</v>
      </c>
      <c r="AB31" s="9">
        <v>8</v>
      </c>
      <c r="AC31" s="9">
        <v>177</v>
      </c>
      <c r="AD31" s="9">
        <v>2</v>
      </c>
      <c r="AE31" s="9">
        <v>29</v>
      </c>
      <c r="AF31" s="9">
        <v>12</v>
      </c>
      <c r="AG31" s="9">
        <v>234</v>
      </c>
      <c r="AH31" s="9">
        <v>7</v>
      </c>
      <c r="AI31" s="9">
        <v>147</v>
      </c>
      <c r="AJ31" s="9">
        <v>29</v>
      </c>
      <c r="AK31" s="9">
        <v>587</v>
      </c>
      <c r="AL31" s="41">
        <v>616</v>
      </c>
      <c r="AN31" s="40" t="s">
        <v>56</v>
      </c>
      <c r="AO31" s="46">
        <v>8</v>
      </c>
      <c r="AP31" s="46">
        <v>180</v>
      </c>
      <c r="AQ31" s="46">
        <v>2</v>
      </c>
      <c r="AR31" s="46">
        <v>31</v>
      </c>
      <c r="AS31" s="46">
        <v>12</v>
      </c>
      <c r="AT31" s="46">
        <v>238</v>
      </c>
      <c r="AU31" s="46">
        <v>8</v>
      </c>
      <c r="AV31" s="46">
        <v>150</v>
      </c>
      <c r="AW31" s="46">
        <v>30</v>
      </c>
      <c r="AX31" s="46">
        <v>599</v>
      </c>
      <c r="AY31" s="47">
        <v>629</v>
      </c>
      <c r="BA31" s="40" t="s">
        <v>56</v>
      </c>
      <c r="BB31" s="46">
        <v>2</v>
      </c>
      <c r="BC31" s="46">
        <v>22</v>
      </c>
      <c r="BD31" s="9">
        <v>0</v>
      </c>
      <c r="BE31" s="46">
        <v>4</v>
      </c>
      <c r="BF31" s="46">
        <v>2</v>
      </c>
      <c r="BG31" s="46">
        <v>30</v>
      </c>
      <c r="BH31" s="9">
        <v>0</v>
      </c>
      <c r="BI31" s="46">
        <v>18</v>
      </c>
      <c r="BJ31" s="46">
        <v>4</v>
      </c>
      <c r="BK31" s="46">
        <v>74</v>
      </c>
      <c r="BL31" s="47">
        <v>78</v>
      </c>
    </row>
    <row r="32" spans="1:64" ht="32">
      <c r="A32" s="40" t="s">
        <v>57</v>
      </c>
      <c r="B32" s="9">
        <v>20</v>
      </c>
      <c r="C32" s="9">
        <v>74</v>
      </c>
      <c r="D32" s="9">
        <v>6</v>
      </c>
      <c r="E32" s="9">
        <v>14</v>
      </c>
      <c r="F32" s="9">
        <v>32</v>
      </c>
      <c r="G32" s="9">
        <v>97</v>
      </c>
      <c r="H32" s="9">
        <v>19</v>
      </c>
      <c r="I32" s="9">
        <v>54</v>
      </c>
      <c r="J32" s="9">
        <v>77</v>
      </c>
      <c r="K32" s="9">
        <v>239</v>
      </c>
      <c r="L32" s="41">
        <v>316</v>
      </c>
      <c r="N32" s="40" t="s">
        <v>57</v>
      </c>
      <c r="O32" s="9">
        <v>19</v>
      </c>
      <c r="P32" s="9">
        <v>74</v>
      </c>
      <c r="Q32" s="9">
        <v>6</v>
      </c>
      <c r="R32" s="9">
        <v>14</v>
      </c>
      <c r="S32" s="9">
        <v>31</v>
      </c>
      <c r="T32" s="9">
        <v>95</v>
      </c>
      <c r="U32" s="9">
        <v>19</v>
      </c>
      <c r="V32" s="9">
        <v>54</v>
      </c>
      <c r="W32" s="9">
        <v>75</v>
      </c>
      <c r="X32" s="9">
        <v>237</v>
      </c>
      <c r="Y32" s="41">
        <v>312</v>
      </c>
      <c r="AA32" s="40" t="s">
        <v>57</v>
      </c>
      <c r="AB32" s="9">
        <v>16</v>
      </c>
      <c r="AC32" s="9">
        <v>60</v>
      </c>
      <c r="AD32" s="9">
        <v>5</v>
      </c>
      <c r="AE32" s="9">
        <v>12</v>
      </c>
      <c r="AF32" s="9">
        <v>26</v>
      </c>
      <c r="AG32" s="9">
        <v>78</v>
      </c>
      <c r="AH32" s="9">
        <v>16</v>
      </c>
      <c r="AI32" s="9">
        <v>44</v>
      </c>
      <c r="AJ32" s="9">
        <v>63</v>
      </c>
      <c r="AK32" s="9">
        <v>194</v>
      </c>
      <c r="AL32" s="41">
        <v>257</v>
      </c>
      <c r="AN32" s="40" t="s">
        <v>57</v>
      </c>
      <c r="AO32" s="46">
        <v>17</v>
      </c>
      <c r="AP32" s="46">
        <v>61</v>
      </c>
      <c r="AQ32" s="46">
        <v>5</v>
      </c>
      <c r="AR32" s="46">
        <v>12</v>
      </c>
      <c r="AS32" s="46">
        <v>26</v>
      </c>
      <c r="AT32" s="46">
        <v>80</v>
      </c>
      <c r="AU32" s="46">
        <v>16</v>
      </c>
      <c r="AV32" s="46">
        <v>45</v>
      </c>
      <c r="AW32" s="46">
        <v>64</v>
      </c>
      <c r="AX32" s="46">
        <v>198</v>
      </c>
      <c r="AY32" s="47">
        <v>262</v>
      </c>
      <c r="BA32" s="40" t="s">
        <v>57</v>
      </c>
      <c r="BB32" s="46">
        <v>2</v>
      </c>
      <c r="BC32" s="46">
        <v>8</v>
      </c>
      <c r="BD32" s="9">
        <v>0</v>
      </c>
      <c r="BE32" s="46">
        <v>2</v>
      </c>
      <c r="BF32" s="46">
        <v>4</v>
      </c>
      <c r="BG32" s="46">
        <v>10</v>
      </c>
      <c r="BH32" s="46">
        <v>2</v>
      </c>
      <c r="BI32" s="46">
        <v>4</v>
      </c>
      <c r="BJ32" s="46">
        <v>8</v>
      </c>
      <c r="BK32" s="46">
        <v>24</v>
      </c>
      <c r="BL32" s="47">
        <v>32</v>
      </c>
    </row>
    <row r="33" spans="1:64" ht="32">
      <c r="A33" s="40" t="s">
        <v>58</v>
      </c>
      <c r="B33" s="9">
        <v>36</v>
      </c>
      <c r="C33" s="9">
        <v>51</v>
      </c>
      <c r="D33" s="9">
        <v>10</v>
      </c>
      <c r="E33" s="9">
        <v>12</v>
      </c>
      <c r="F33" s="9">
        <v>56</v>
      </c>
      <c r="G33" s="9">
        <v>72</v>
      </c>
      <c r="H33" s="9">
        <v>34</v>
      </c>
      <c r="I33" s="9">
        <v>43</v>
      </c>
      <c r="J33" s="9">
        <v>136</v>
      </c>
      <c r="K33" s="9">
        <v>178</v>
      </c>
      <c r="L33" s="41">
        <v>314</v>
      </c>
      <c r="N33" s="40" t="s">
        <v>58</v>
      </c>
      <c r="O33" s="9">
        <v>35</v>
      </c>
      <c r="P33" s="9">
        <v>50</v>
      </c>
      <c r="Q33" s="9">
        <v>10</v>
      </c>
      <c r="R33" s="9">
        <v>12</v>
      </c>
      <c r="S33" s="9">
        <v>56</v>
      </c>
      <c r="T33" s="9">
        <v>73</v>
      </c>
      <c r="U33" s="9">
        <v>34</v>
      </c>
      <c r="V33" s="9">
        <v>42</v>
      </c>
      <c r="W33" s="9">
        <v>135</v>
      </c>
      <c r="X33" s="9">
        <v>177</v>
      </c>
      <c r="Y33" s="41">
        <v>312</v>
      </c>
      <c r="AA33" s="40" t="s">
        <v>58</v>
      </c>
      <c r="AB33" s="9">
        <v>28</v>
      </c>
      <c r="AC33" s="9">
        <v>41</v>
      </c>
      <c r="AD33" s="9">
        <v>8</v>
      </c>
      <c r="AE33" s="9">
        <v>10</v>
      </c>
      <c r="AF33" s="9">
        <v>46</v>
      </c>
      <c r="AG33" s="9">
        <v>60</v>
      </c>
      <c r="AH33" s="9">
        <v>28</v>
      </c>
      <c r="AI33" s="9">
        <v>35</v>
      </c>
      <c r="AJ33" s="9">
        <v>110</v>
      </c>
      <c r="AK33" s="9">
        <v>146</v>
      </c>
      <c r="AL33" s="41">
        <v>256</v>
      </c>
      <c r="AN33" s="40" t="s">
        <v>58</v>
      </c>
      <c r="AO33" s="46">
        <v>30</v>
      </c>
      <c r="AP33" s="46">
        <v>42</v>
      </c>
      <c r="AQ33" s="46">
        <v>8</v>
      </c>
      <c r="AR33" s="46">
        <v>10</v>
      </c>
      <c r="AS33" s="46">
        <v>47</v>
      </c>
      <c r="AT33" s="46">
        <v>61</v>
      </c>
      <c r="AU33" s="46">
        <v>28</v>
      </c>
      <c r="AV33" s="46">
        <v>36</v>
      </c>
      <c r="AW33" s="46">
        <v>113</v>
      </c>
      <c r="AX33" s="46">
        <v>149</v>
      </c>
      <c r="AY33" s="47">
        <v>262</v>
      </c>
      <c r="BA33" s="40" t="s">
        <v>58</v>
      </c>
      <c r="BB33" s="46">
        <v>4</v>
      </c>
      <c r="BC33" s="46">
        <v>6</v>
      </c>
      <c r="BD33" s="9">
        <v>0</v>
      </c>
      <c r="BE33" s="46">
        <v>2</v>
      </c>
      <c r="BF33" s="46">
        <v>4</v>
      </c>
      <c r="BG33" s="46">
        <v>8</v>
      </c>
      <c r="BH33" s="46">
        <v>6</v>
      </c>
      <c r="BI33" s="46">
        <v>2</v>
      </c>
      <c r="BJ33" s="46">
        <v>14</v>
      </c>
      <c r="BK33" s="46">
        <v>18</v>
      </c>
      <c r="BL33" s="47">
        <v>32</v>
      </c>
    </row>
    <row r="34" spans="1:64" ht="32">
      <c r="A34" s="40" t="s">
        <v>59</v>
      </c>
      <c r="B34" s="9">
        <v>41</v>
      </c>
      <c r="C34" s="9">
        <v>45</v>
      </c>
      <c r="D34" s="9">
        <v>12</v>
      </c>
      <c r="E34" s="9">
        <v>13</v>
      </c>
      <c r="F34" s="9">
        <v>64</v>
      </c>
      <c r="G34" s="9">
        <v>69</v>
      </c>
      <c r="H34" s="9">
        <v>39</v>
      </c>
      <c r="I34" s="9">
        <v>41</v>
      </c>
      <c r="J34" s="9">
        <v>156</v>
      </c>
      <c r="K34" s="9">
        <v>168</v>
      </c>
      <c r="L34" s="41">
        <v>324</v>
      </c>
      <c r="N34" s="40" t="s">
        <v>59</v>
      </c>
      <c r="O34" s="9">
        <v>40</v>
      </c>
      <c r="P34" s="9">
        <v>45</v>
      </c>
      <c r="Q34" s="9">
        <v>11</v>
      </c>
      <c r="R34" s="9">
        <v>12</v>
      </c>
      <c r="S34" s="9">
        <v>64</v>
      </c>
      <c r="T34" s="9">
        <v>69</v>
      </c>
      <c r="U34" s="9">
        <v>39</v>
      </c>
      <c r="V34" s="9">
        <v>41</v>
      </c>
      <c r="W34" s="9">
        <v>154</v>
      </c>
      <c r="X34" s="9">
        <v>167</v>
      </c>
      <c r="Y34" s="41">
        <v>321</v>
      </c>
      <c r="AA34" s="40" t="s">
        <v>59</v>
      </c>
      <c r="AB34" s="9">
        <v>33</v>
      </c>
      <c r="AC34" s="9">
        <v>37</v>
      </c>
      <c r="AD34" s="9">
        <v>9</v>
      </c>
      <c r="AE34" s="9">
        <v>10</v>
      </c>
      <c r="AF34" s="9">
        <v>53</v>
      </c>
      <c r="AG34" s="9">
        <v>56</v>
      </c>
      <c r="AH34" s="9">
        <v>32</v>
      </c>
      <c r="AI34" s="9">
        <v>34</v>
      </c>
      <c r="AJ34" s="9">
        <v>127</v>
      </c>
      <c r="AK34" s="9">
        <v>137</v>
      </c>
      <c r="AL34" s="41">
        <v>264</v>
      </c>
      <c r="AN34" s="40" t="s">
        <v>59</v>
      </c>
      <c r="AO34" s="46">
        <v>34</v>
      </c>
      <c r="AP34" s="46">
        <v>38</v>
      </c>
      <c r="AQ34" s="46">
        <v>10</v>
      </c>
      <c r="AR34" s="46">
        <v>10</v>
      </c>
      <c r="AS34" s="46">
        <v>53</v>
      </c>
      <c r="AT34" s="46">
        <v>57</v>
      </c>
      <c r="AU34" s="46">
        <v>32</v>
      </c>
      <c r="AV34" s="46">
        <v>34</v>
      </c>
      <c r="AW34" s="46">
        <v>129</v>
      </c>
      <c r="AX34" s="46">
        <v>139</v>
      </c>
      <c r="AY34" s="47">
        <v>268</v>
      </c>
      <c r="BA34" s="40" t="s">
        <v>59</v>
      </c>
      <c r="BB34" s="46">
        <v>4</v>
      </c>
      <c r="BC34" s="46">
        <v>4</v>
      </c>
      <c r="BD34" s="46">
        <v>2</v>
      </c>
      <c r="BE34" s="46">
        <v>2</v>
      </c>
      <c r="BF34" s="46">
        <v>6</v>
      </c>
      <c r="BG34" s="46">
        <v>6</v>
      </c>
      <c r="BH34" s="46">
        <v>4</v>
      </c>
      <c r="BI34" s="46">
        <v>4</v>
      </c>
      <c r="BJ34" s="46">
        <v>16</v>
      </c>
      <c r="BK34" s="46">
        <v>16</v>
      </c>
      <c r="BL34" s="47">
        <v>32</v>
      </c>
    </row>
    <row r="35" spans="1:64" ht="32">
      <c r="A35" s="40" t="s">
        <v>60</v>
      </c>
      <c r="B35" s="9">
        <v>42</v>
      </c>
      <c r="C35" s="9">
        <v>46</v>
      </c>
      <c r="D35" s="9">
        <v>12</v>
      </c>
      <c r="E35" s="9">
        <v>13</v>
      </c>
      <c r="F35" s="9">
        <v>68</v>
      </c>
      <c r="G35" s="9">
        <v>70</v>
      </c>
      <c r="H35" s="9">
        <v>42</v>
      </c>
      <c r="I35" s="9">
        <v>43</v>
      </c>
      <c r="J35" s="9">
        <v>164</v>
      </c>
      <c r="K35" s="9">
        <v>172</v>
      </c>
      <c r="L35" s="41">
        <v>336</v>
      </c>
      <c r="N35" s="40" t="s">
        <v>60</v>
      </c>
      <c r="O35" s="9">
        <v>42</v>
      </c>
      <c r="P35" s="9">
        <v>45</v>
      </c>
      <c r="Q35" s="9">
        <v>12</v>
      </c>
      <c r="R35" s="9">
        <v>13</v>
      </c>
      <c r="S35" s="9">
        <v>67</v>
      </c>
      <c r="T35" s="9">
        <v>70</v>
      </c>
      <c r="U35" s="9">
        <v>41</v>
      </c>
      <c r="V35" s="9">
        <v>43</v>
      </c>
      <c r="W35" s="9">
        <v>162</v>
      </c>
      <c r="X35" s="9">
        <v>171</v>
      </c>
      <c r="Y35" s="41">
        <v>333</v>
      </c>
      <c r="AA35" s="40" t="s">
        <v>60</v>
      </c>
      <c r="AB35" s="9">
        <v>35</v>
      </c>
      <c r="AC35" s="9">
        <v>37</v>
      </c>
      <c r="AD35" s="9">
        <v>10</v>
      </c>
      <c r="AE35" s="9">
        <v>10</v>
      </c>
      <c r="AF35" s="9">
        <v>55</v>
      </c>
      <c r="AG35" s="9">
        <v>58</v>
      </c>
      <c r="AH35" s="9">
        <v>33</v>
      </c>
      <c r="AI35" s="9">
        <v>35</v>
      </c>
      <c r="AJ35" s="9">
        <v>133</v>
      </c>
      <c r="AK35" s="9">
        <v>140</v>
      </c>
      <c r="AL35" s="41">
        <v>273</v>
      </c>
      <c r="AN35" s="40" t="s">
        <v>60</v>
      </c>
      <c r="AO35" s="46">
        <v>35</v>
      </c>
      <c r="AP35" s="46">
        <v>38</v>
      </c>
      <c r="AQ35" s="46">
        <v>10</v>
      </c>
      <c r="AR35" s="46">
        <v>10</v>
      </c>
      <c r="AS35" s="46">
        <v>56</v>
      </c>
      <c r="AT35" s="46">
        <v>59</v>
      </c>
      <c r="AU35" s="46">
        <v>34</v>
      </c>
      <c r="AV35" s="46">
        <v>36</v>
      </c>
      <c r="AW35" s="46">
        <v>135</v>
      </c>
      <c r="AX35" s="46">
        <v>143</v>
      </c>
      <c r="AY35" s="47">
        <v>278</v>
      </c>
      <c r="BA35" s="40" t="s">
        <v>60</v>
      </c>
      <c r="BB35" s="46">
        <v>4</v>
      </c>
      <c r="BC35" s="46">
        <v>4</v>
      </c>
      <c r="BD35" s="46">
        <v>2</v>
      </c>
      <c r="BE35" s="46">
        <v>2</v>
      </c>
      <c r="BF35" s="46">
        <v>8</v>
      </c>
      <c r="BG35" s="46">
        <v>8</v>
      </c>
      <c r="BH35" s="46">
        <v>4</v>
      </c>
      <c r="BI35" s="46">
        <v>4</v>
      </c>
      <c r="BJ35" s="46">
        <v>18</v>
      </c>
      <c r="BK35" s="46">
        <v>18</v>
      </c>
      <c r="BL35" s="47">
        <v>36</v>
      </c>
    </row>
    <row r="36" spans="1:64" ht="32">
      <c r="A36" s="40" t="s">
        <v>61</v>
      </c>
      <c r="B36" s="9">
        <v>53</v>
      </c>
      <c r="C36" s="9">
        <v>51</v>
      </c>
      <c r="D36" s="9">
        <v>15</v>
      </c>
      <c r="E36" s="9">
        <v>14</v>
      </c>
      <c r="F36" s="9">
        <v>84</v>
      </c>
      <c r="G36" s="9">
        <v>80</v>
      </c>
      <c r="H36" s="9">
        <v>53</v>
      </c>
      <c r="I36" s="9">
        <v>49</v>
      </c>
      <c r="J36" s="9">
        <v>205</v>
      </c>
      <c r="K36" s="9">
        <v>194</v>
      </c>
      <c r="L36" s="41">
        <v>399</v>
      </c>
      <c r="N36" s="40" t="s">
        <v>61</v>
      </c>
      <c r="O36" s="9">
        <v>53</v>
      </c>
      <c r="P36" s="9">
        <v>51</v>
      </c>
      <c r="Q36" s="9">
        <v>15</v>
      </c>
      <c r="R36" s="9">
        <v>14</v>
      </c>
      <c r="S36" s="9">
        <v>84</v>
      </c>
      <c r="T36" s="9">
        <v>80</v>
      </c>
      <c r="U36" s="9">
        <v>53</v>
      </c>
      <c r="V36" s="9">
        <v>48</v>
      </c>
      <c r="W36" s="9">
        <v>205</v>
      </c>
      <c r="X36" s="9">
        <v>193</v>
      </c>
      <c r="Y36" s="41">
        <v>398</v>
      </c>
      <c r="AA36" s="40" t="s">
        <v>61</v>
      </c>
      <c r="AB36" s="9">
        <v>43</v>
      </c>
      <c r="AC36" s="9">
        <v>42</v>
      </c>
      <c r="AD36" s="9">
        <v>12</v>
      </c>
      <c r="AE36" s="9">
        <v>12</v>
      </c>
      <c r="AF36" s="9">
        <v>69</v>
      </c>
      <c r="AG36" s="9">
        <v>65</v>
      </c>
      <c r="AH36" s="9">
        <v>44</v>
      </c>
      <c r="AI36" s="9">
        <v>39</v>
      </c>
      <c r="AJ36" s="9">
        <v>168</v>
      </c>
      <c r="AK36" s="9">
        <v>158</v>
      </c>
      <c r="AL36" s="41">
        <v>326</v>
      </c>
      <c r="AN36" s="40" t="s">
        <v>61</v>
      </c>
      <c r="AO36" s="46">
        <v>44</v>
      </c>
      <c r="AP36" s="46">
        <v>43</v>
      </c>
      <c r="AQ36" s="46">
        <v>12</v>
      </c>
      <c r="AR36" s="46">
        <v>12</v>
      </c>
      <c r="AS36" s="46">
        <v>70</v>
      </c>
      <c r="AT36" s="46">
        <v>66</v>
      </c>
      <c r="AU36" s="46">
        <v>45</v>
      </c>
      <c r="AV36" s="46">
        <v>40</v>
      </c>
      <c r="AW36" s="46">
        <v>171</v>
      </c>
      <c r="AX36" s="46">
        <v>161</v>
      </c>
      <c r="AY36" s="47">
        <v>332</v>
      </c>
      <c r="BA36" s="40" t="s">
        <v>61</v>
      </c>
      <c r="BB36" s="46">
        <v>4</v>
      </c>
      <c r="BC36" s="46">
        <v>4</v>
      </c>
      <c r="BD36" s="46">
        <v>2</v>
      </c>
      <c r="BE36" s="46">
        <v>2</v>
      </c>
      <c r="BF36" s="46">
        <v>8</v>
      </c>
      <c r="BG36" s="46">
        <v>8</v>
      </c>
      <c r="BH36" s="46">
        <v>4</v>
      </c>
      <c r="BI36" s="46">
        <v>6</v>
      </c>
      <c r="BJ36" s="46">
        <v>18</v>
      </c>
      <c r="BK36" s="46">
        <v>20</v>
      </c>
      <c r="BL36" s="47">
        <v>38</v>
      </c>
    </row>
    <row r="37" spans="1:64" ht="32">
      <c r="A37" s="40" t="s">
        <v>62</v>
      </c>
      <c r="B37" s="9">
        <v>59</v>
      </c>
      <c r="C37" s="9">
        <v>52</v>
      </c>
      <c r="D37" s="9">
        <v>16</v>
      </c>
      <c r="E37" s="9">
        <v>14</v>
      </c>
      <c r="F37" s="9">
        <v>96</v>
      </c>
      <c r="G37" s="9">
        <v>82</v>
      </c>
      <c r="H37" s="9">
        <v>63</v>
      </c>
      <c r="I37" s="9">
        <v>50</v>
      </c>
      <c r="J37" s="9">
        <v>234</v>
      </c>
      <c r="K37" s="9">
        <v>198</v>
      </c>
      <c r="L37" s="41">
        <v>432</v>
      </c>
      <c r="N37" s="40" t="s">
        <v>62</v>
      </c>
      <c r="O37" s="9">
        <v>59</v>
      </c>
      <c r="P37" s="9">
        <v>52</v>
      </c>
      <c r="Q37" s="9">
        <v>16</v>
      </c>
      <c r="R37" s="9">
        <v>14</v>
      </c>
      <c r="S37" s="9">
        <v>95</v>
      </c>
      <c r="T37" s="9">
        <v>82</v>
      </c>
      <c r="U37" s="9">
        <v>62</v>
      </c>
      <c r="V37" s="9">
        <v>50</v>
      </c>
      <c r="W37" s="9">
        <v>232</v>
      </c>
      <c r="X37" s="9">
        <v>198</v>
      </c>
      <c r="Y37" s="41">
        <v>430</v>
      </c>
      <c r="AA37" s="40" t="s">
        <v>62</v>
      </c>
      <c r="AB37" s="9">
        <v>48</v>
      </c>
      <c r="AC37" s="9">
        <v>43</v>
      </c>
      <c r="AD37" s="9">
        <v>13</v>
      </c>
      <c r="AE37" s="9">
        <v>11</v>
      </c>
      <c r="AF37" s="9">
        <v>78</v>
      </c>
      <c r="AG37" s="9">
        <v>67</v>
      </c>
      <c r="AH37" s="9">
        <v>51</v>
      </c>
      <c r="AI37" s="9">
        <v>41</v>
      </c>
      <c r="AJ37" s="9">
        <v>190</v>
      </c>
      <c r="AK37" s="9">
        <v>162</v>
      </c>
      <c r="AL37" s="41">
        <v>352</v>
      </c>
      <c r="AN37" s="40" t="s">
        <v>62</v>
      </c>
      <c r="AO37" s="46">
        <v>49</v>
      </c>
      <c r="AP37" s="46">
        <v>44</v>
      </c>
      <c r="AQ37" s="46">
        <v>14</v>
      </c>
      <c r="AR37" s="46">
        <v>12</v>
      </c>
      <c r="AS37" s="46">
        <v>79</v>
      </c>
      <c r="AT37" s="46">
        <v>68</v>
      </c>
      <c r="AU37" s="46">
        <v>52</v>
      </c>
      <c r="AV37" s="46">
        <v>41</v>
      </c>
      <c r="AW37" s="46">
        <v>194</v>
      </c>
      <c r="AX37" s="46">
        <v>165</v>
      </c>
      <c r="AY37" s="47">
        <v>359</v>
      </c>
      <c r="BA37" s="40" t="s">
        <v>62</v>
      </c>
      <c r="BB37" s="46">
        <v>4</v>
      </c>
      <c r="BC37" s="46">
        <v>4</v>
      </c>
      <c r="BD37" s="46">
        <v>2</v>
      </c>
      <c r="BE37" s="46">
        <v>2</v>
      </c>
      <c r="BF37" s="46">
        <v>8</v>
      </c>
      <c r="BG37" s="46">
        <v>8</v>
      </c>
      <c r="BH37" s="46">
        <v>6</v>
      </c>
      <c r="BI37" s="46">
        <v>6</v>
      </c>
      <c r="BJ37" s="46">
        <v>20</v>
      </c>
      <c r="BK37" s="46">
        <v>20</v>
      </c>
      <c r="BL37" s="47">
        <v>40</v>
      </c>
    </row>
    <row r="38" spans="1:64" ht="32">
      <c r="A38" s="40" t="s">
        <v>63</v>
      </c>
      <c r="B38" s="9">
        <v>60</v>
      </c>
      <c r="C38" s="9">
        <v>50</v>
      </c>
      <c r="D38" s="9">
        <v>16</v>
      </c>
      <c r="E38" s="9">
        <v>14</v>
      </c>
      <c r="F38" s="9">
        <v>101</v>
      </c>
      <c r="G38" s="9">
        <v>79</v>
      </c>
      <c r="H38" s="9">
        <v>69</v>
      </c>
      <c r="I38" s="9">
        <v>48</v>
      </c>
      <c r="J38" s="9">
        <v>246</v>
      </c>
      <c r="K38" s="9">
        <v>191</v>
      </c>
      <c r="L38" s="41">
        <v>437</v>
      </c>
      <c r="N38" s="40" t="s">
        <v>63</v>
      </c>
      <c r="O38" s="9">
        <v>60</v>
      </c>
      <c r="P38" s="9">
        <v>50</v>
      </c>
      <c r="Q38" s="9">
        <v>17</v>
      </c>
      <c r="R38" s="9">
        <v>14</v>
      </c>
      <c r="S38" s="9">
        <v>100</v>
      </c>
      <c r="T38" s="9">
        <v>78</v>
      </c>
      <c r="U38" s="9">
        <v>68</v>
      </c>
      <c r="V38" s="9">
        <v>48</v>
      </c>
      <c r="W38" s="9">
        <v>245</v>
      </c>
      <c r="X38" s="9">
        <v>190</v>
      </c>
      <c r="Y38" s="41">
        <v>435</v>
      </c>
      <c r="AA38" s="40" t="s">
        <v>63</v>
      </c>
      <c r="AB38" s="9">
        <v>49</v>
      </c>
      <c r="AC38" s="9">
        <v>41</v>
      </c>
      <c r="AD38" s="9">
        <v>14</v>
      </c>
      <c r="AE38" s="9">
        <v>11</v>
      </c>
      <c r="AF38" s="9">
        <v>82</v>
      </c>
      <c r="AG38" s="9">
        <v>65</v>
      </c>
      <c r="AH38" s="9">
        <v>55</v>
      </c>
      <c r="AI38" s="9">
        <v>39</v>
      </c>
      <c r="AJ38" s="9">
        <v>200</v>
      </c>
      <c r="AK38" s="9">
        <v>156</v>
      </c>
      <c r="AL38" s="41">
        <v>356</v>
      </c>
      <c r="AN38" s="40" t="s">
        <v>63</v>
      </c>
      <c r="AO38" s="46">
        <v>50</v>
      </c>
      <c r="AP38" s="46">
        <v>42</v>
      </c>
      <c r="AQ38" s="46">
        <v>14</v>
      </c>
      <c r="AR38" s="46">
        <v>11</v>
      </c>
      <c r="AS38" s="46">
        <v>84</v>
      </c>
      <c r="AT38" s="46">
        <v>65</v>
      </c>
      <c r="AU38" s="46">
        <v>56</v>
      </c>
      <c r="AV38" s="46">
        <v>40</v>
      </c>
      <c r="AW38" s="46">
        <v>204</v>
      </c>
      <c r="AX38" s="46">
        <v>158</v>
      </c>
      <c r="AY38" s="47">
        <v>362</v>
      </c>
      <c r="BA38" s="40" t="s">
        <v>63</v>
      </c>
      <c r="BB38" s="46">
        <v>6</v>
      </c>
      <c r="BC38" s="46">
        <v>6</v>
      </c>
      <c r="BD38" s="46">
        <v>2</v>
      </c>
      <c r="BE38" s="46">
        <v>2</v>
      </c>
      <c r="BF38" s="46">
        <v>10</v>
      </c>
      <c r="BG38" s="46">
        <v>6</v>
      </c>
      <c r="BH38" s="46">
        <v>8</v>
      </c>
      <c r="BI38" s="46">
        <v>6</v>
      </c>
      <c r="BJ38" s="46">
        <v>26</v>
      </c>
      <c r="BK38" s="46">
        <v>20</v>
      </c>
      <c r="BL38" s="47">
        <v>46</v>
      </c>
    </row>
    <row r="39" spans="1:64" ht="32">
      <c r="A39" s="40" t="s">
        <v>64</v>
      </c>
      <c r="B39" s="9">
        <v>68</v>
      </c>
      <c r="C39" s="9">
        <v>53</v>
      </c>
      <c r="D39" s="9">
        <v>18</v>
      </c>
      <c r="E39" s="9">
        <v>15</v>
      </c>
      <c r="F39" s="9">
        <v>116</v>
      </c>
      <c r="G39" s="9">
        <v>84</v>
      </c>
      <c r="H39" s="9">
        <v>82</v>
      </c>
      <c r="I39" s="9">
        <v>50</v>
      </c>
      <c r="J39" s="9">
        <v>284</v>
      </c>
      <c r="K39" s="9">
        <v>202</v>
      </c>
      <c r="L39" s="41">
        <v>486</v>
      </c>
      <c r="N39" s="40" t="s">
        <v>64</v>
      </c>
      <c r="O39" s="9">
        <v>68</v>
      </c>
      <c r="P39" s="9">
        <v>52</v>
      </c>
      <c r="Q39" s="9">
        <v>18</v>
      </c>
      <c r="R39" s="9">
        <v>15</v>
      </c>
      <c r="S39" s="9">
        <v>116</v>
      </c>
      <c r="T39" s="9">
        <v>83</v>
      </c>
      <c r="U39" s="9">
        <v>82</v>
      </c>
      <c r="V39" s="9">
        <v>50</v>
      </c>
      <c r="W39" s="9">
        <v>284</v>
      </c>
      <c r="X39" s="9">
        <v>200</v>
      </c>
      <c r="Y39" s="41">
        <v>484</v>
      </c>
      <c r="AA39" s="40" t="s">
        <v>64</v>
      </c>
      <c r="AB39" s="9">
        <v>55</v>
      </c>
      <c r="AC39" s="9">
        <v>43</v>
      </c>
      <c r="AD39" s="9">
        <v>15</v>
      </c>
      <c r="AE39" s="9">
        <v>12</v>
      </c>
      <c r="AF39" s="9">
        <v>94</v>
      </c>
      <c r="AG39" s="9">
        <v>67</v>
      </c>
      <c r="AH39" s="9">
        <v>67</v>
      </c>
      <c r="AI39" s="9">
        <v>41</v>
      </c>
      <c r="AJ39" s="9">
        <v>231</v>
      </c>
      <c r="AK39" s="9">
        <v>163</v>
      </c>
      <c r="AL39" s="41">
        <v>394</v>
      </c>
      <c r="AN39" s="40" t="s">
        <v>64</v>
      </c>
      <c r="AO39" s="46">
        <v>56</v>
      </c>
      <c r="AP39" s="46">
        <v>44</v>
      </c>
      <c r="AQ39" s="46">
        <v>15</v>
      </c>
      <c r="AR39" s="46">
        <v>12</v>
      </c>
      <c r="AS39" s="46">
        <v>97</v>
      </c>
      <c r="AT39" s="46">
        <v>70</v>
      </c>
      <c r="AU39" s="46">
        <v>69</v>
      </c>
      <c r="AV39" s="46">
        <v>42</v>
      </c>
      <c r="AW39" s="46">
        <v>237</v>
      </c>
      <c r="AX39" s="46">
        <v>168</v>
      </c>
      <c r="AY39" s="47">
        <v>405</v>
      </c>
      <c r="BA39" s="40" t="s">
        <v>64</v>
      </c>
      <c r="BB39" s="46">
        <v>8</v>
      </c>
      <c r="BC39" s="46">
        <v>6</v>
      </c>
      <c r="BD39" s="46">
        <v>2</v>
      </c>
      <c r="BE39" s="9">
        <v>0</v>
      </c>
      <c r="BF39" s="46">
        <v>12</v>
      </c>
      <c r="BG39" s="46">
        <v>8</v>
      </c>
      <c r="BH39" s="46">
        <v>8</v>
      </c>
      <c r="BI39" s="46">
        <v>6</v>
      </c>
      <c r="BJ39" s="46">
        <v>30</v>
      </c>
      <c r="BK39" s="46">
        <v>20</v>
      </c>
      <c r="BL39" s="47">
        <v>50</v>
      </c>
    </row>
    <row r="40" spans="1:64" ht="32">
      <c r="A40" s="40" t="s">
        <v>65</v>
      </c>
      <c r="B40" s="9">
        <v>79</v>
      </c>
      <c r="C40" s="9">
        <v>51</v>
      </c>
      <c r="D40" s="9">
        <v>19</v>
      </c>
      <c r="E40" s="9">
        <v>14</v>
      </c>
      <c r="F40" s="9">
        <v>132</v>
      </c>
      <c r="G40" s="9">
        <v>80</v>
      </c>
      <c r="H40" s="9">
        <v>97</v>
      </c>
      <c r="I40" s="9">
        <v>48</v>
      </c>
      <c r="J40" s="9">
        <v>327</v>
      </c>
      <c r="K40" s="9">
        <v>193</v>
      </c>
      <c r="L40" s="41">
        <v>520</v>
      </c>
      <c r="N40" s="40" t="s">
        <v>65</v>
      </c>
      <c r="O40" s="9">
        <v>78</v>
      </c>
      <c r="P40" s="9">
        <v>50</v>
      </c>
      <c r="Q40" s="9">
        <v>18</v>
      </c>
      <c r="R40" s="9">
        <v>14</v>
      </c>
      <c r="S40" s="9">
        <v>130</v>
      </c>
      <c r="T40" s="9">
        <v>79</v>
      </c>
      <c r="U40" s="9">
        <v>97</v>
      </c>
      <c r="V40" s="9">
        <v>48</v>
      </c>
      <c r="W40" s="9">
        <v>323</v>
      </c>
      <c r="X40" s="9">
        <v>191</v>
      </c>
      <c r="Y40" s="41">
        <v>514</v>
      </c>
      <c r="AA40" s="40" t="s">
        <v>65</v>
      </c>
      <c r="AB40" s="9">
        <v>64</v>
      </c>
      <c r="AC40" s="9">
        <v>41</v>
      </c>
      <c r="AD40" s="9">
        <v>15</v>
      </c>
      <c r="AE40" s="9">
        <v>12</v>
      </c>
      <c r="AF40" s="9">
        <v>108</v>
      </c>
      <c r="AG40" s="9">
        <v>66</v>
      </c>
      <c r="AH40" s="9">
        <v>79</v>
      </c>
      <c r="AI40" s="9">
        <v>38</v>
      </c>
      <c r="AJ40" s="9">
        <v>266</v>
      </c>
      <c r="AK40" s="9">
        <v>157</v>
      </c>
      <c r="AL40" s="41">
        <v>423</v>
      </c>
      <c r="AN40" s="40" t="s">
        <v>65</v>
      </c>
      <c r="AO40" s="46">
        <v>65</v>
      </c>
      <c r="AP40" s="46">
        <v>42</v>
      </c>
      <c r="AQ40" s="46">
        <v>16</v>
      </c>
      <c r="AR40" s="46">
        <v>12</v>
      </c>
      <c r="AS40" s="46">
        <v>109</v>
      </c>
      <c r="AT40" s="46">
        <v>67</v>
      </c>
      <c r="AU40" s="46">
        <v>80</v>
      </c>
      <c r="AV40" s="46">
        <v>40</v>
      </c>
      <c r="AW40" s="46">
        <v>270</v>
      </c>
      <c r="AX40" s="46">
        <v>161</v>
      </c>
      <c r="AY40" s="47">
        <v>431</v>
      </c>
      <c r="BA40" s="40" t="s">
        <v>65</v>
      </c>
      <c r="BB40" s="46">
        <v>10</v>
      </c>
      <c r="BC40" s="46">
        <v>6</v>
      </c>
      <c r="BD40" s="9">
        <v>0</v>
      </c>
      <c r="BE40" s="9">
        <v>0</v>
      </c>
      <c r="BF40" s="46">
        <v>14</v>
      </c>
      <c r="BG40" s="46">
        <v>8</v>
      </c>
      <c r="BH40" s="46">
        <v>10</v>
      </c>
      <c r="BI40" s="46">
        <v>6</v>
      </c>
      <c r="BJ40" s="46">
        <v>34</v>
      </c>
      <c r="BK40" s="46">
        <v>20</v>
      </c>
      <c r="BL40" s="47">
        <v>54</v>
      </c>
    </row>
    <row r="41" spans="1:64" ht="32">
      <c r="A41" s="40" t="s">
        <v>66</v>
      </c>
      <c r="B41" s="9">
        <v>155</v>
      </c>
      <c r="C41" s="9">
        <v>37</v>
      </c>
      <c r="D41" s="9">
        <v>30</v>
      </c>
      <c r="E41" s="9">
        <v>10</v>
      </c>
      <c r="F41" s="9">
        <v>209</v>
      </c>
      <c r="G41" s="9">
        <v>58</v>
      </c>
      <c r="H41" s="9">
        <v>125</v>
      </c>
      <c r="I41" s="9">
        <v>35</v>
      </c>
      <c r="J41" s="9">
        <v>519</v>
      </c>
      <c r="K41" s="9">
        <v>140</v>
      </c>
      <c r="L41" s="41">
        <v>659</v>
      </c>
      <c r="N41" s="40" t="s">
        <v>66</v>
      </c>
      <c r="O41" s="9">
        <v>155</v>
      </c>
      <c r="P41" s="9">
        <v>36</v>
      </c>
      <c r="Q41" s="9">
        <v>30</v>
      </c>
      <c r="R41" s="9">
        <v>10</v>
      </c>
      <c r="S41" s="9">
        <v>208</v>
      </c>
      <c r="T41" s="9">
        <v>57</v>
      </c>
      <c r="U41" s="9">
        <v>125</v>
      </c>
      <c r="V41" s="9">
        <v>36</v>
      </c>
      <c r="W41" s="9">
        <v>518</v>
      </c>
      <c r="X41" s="9">
        <v>139</v>
      </c>
      <c r="Y41" s="41">
        <v>657</v>
      </c>
      <c r="AA41" s="40" t="s">
        <v>66</v>
      </c>
      <c r="AB41" s="9">
        <v>127</v>
      </c>
      <c r="AC41" s="9">
        <v>30</v>
      </c>
      <c r="AD41" s="9">
        <v>25</v>
      </c>
      <c r="AE41" s="9">
        <v>8</v>
      </c>
      <c r="AF41" s="9">
        <v>170</v>
      </c>
      <c r="AG41" s="9">
        <v>47</v>
      </c>
      <c r="AH41" s="9">
        <v>102</v>
      </c>
      <c r="AI41" s="9">
        <v>29</v>
      </c>
      <c r="AJ41" s="9">
        <v>424</v>
      </c>
      <c r="AK41" s="9">
        <v>114</v>
      </c>
      <c r="AL41" s="41">
        <v>538</v>
      </c>
      <c r="AN41" s="40" t="s">
        <v>66</v>
      </c>
      <c r="AO41" s="46">
        <v>129</v>
      </c>
      <c r="AP41" s="46">
        <v>30</v>
      </c>
      <c r="AQ41" s="46">
        <v>25</v>
      </c>
      <c r="AR41" s="46">
        <v>9</v>
      </c>
      <c r="AS41" s="46">
        <v>174</v>
      </c>
      <c r="AT41" s="46">
        <v>48</v>
      </c>
      <c r="AU41" s="46">
        <v>104</v>
      </c>
      <c r="AV41" s="46">
        <v>29</v>
      </c>
      <c r="AW41" s="46">
        <v>432</v>
      </c>
      <c r="AX41" s="46">
        <v>116</v>
      </c>
      <c r="AY41" s="47">
        <v>548</v>
      </c>
      <c r="BA41" s="40" t="s">
        <v>66</v>
      </c>
      <c r="BB41" s="46">
        <v>18</v>
      </c>
      <c r="BC41" s="46">
        <v>4</v>
      </c>
      <c r="BD41" s="46">
        <v>2</v>
      </c>
      <c r="BE41" s="46">
        <v>2</v>
      </c>
      <c r="BF41" s="46">
        <v>22</v>
      </c>
      <c r="BG41" s="46">
        <v>6</v>
      </c>
      <c r="BH41" s="46">
        <v>12</v>
      </c>
      <c r="BI41" s="46">
        <v>2</v>
      </c>
      <c r="BJ41" s="46">
        <v>54</v>
      </c>
      <c r="BK41" s="46">
        <v>14</v>
      </c>
      <c r="BL41" s="47">
        <v>68</v>
      </c>
    </row>
    <row r="42" spans="1:64" ht="32">
      <c r="A42" s="40" t="s">
        <v>67</v>
      </c>
      <c r="B42" s="9">
        <v>178</v>
      </c>
      <c r="C42" s="9">
        <v>28</v>
      </c>
      <c r="D42" s="9">
        <v>32</v>
      </c>
      <c r="E42" s="9">
        <v>8</v>
      </c>
      <c r="F42" s="9">
        <v>218</v>
      </c>
      <c r="G42" s="9">
        <v>46</v>
      </c>
      <c r="H42" s="9">
        <v>115</v>
      </c>
      <c r="I42" s="9">
        <v>28</v>
      </c>
      <c r="J42" s="9">
        <v>543</v>
      </c>
      <c r="K42" s="9">
        <v>110</v>
      </c>
      <c r="L42" s="41">
        <v>653</v>
      </c>
      <c r="N42" s="40" t="s">
        <v>67</v>
      </c>
      <c r="O42" s="9">
        <v>177</v>
      </c>
      <c r="P42" s="9">
        <v>28</v>
      </c>
      <c r="Q42" s="9">
        <v>32</v>
      </c>
      <c r="R42" s="9">
        <v>8</v>
      </c>
      <c r="S42" s="9">
        <v>217</v>
      </c>
      <c r="T42" s="9">
        <v>45</v>
      </c>
      <c r="U42" s="9">
        <v>114</v>
      </c>
      <c r="V42" s="9">
        <v>28</v>
      </c>
      <c r="W42" s="9">
        <v>540</v>
      </c>
      <c r="X42" s="9">
        <v>109</v>
      </c>
      <c r="Y42" s="41">
        <v>649</v>
      </c>
      <c r="AA42" s="40" t="s">
        <v>67</v>
      </c>
      <c r="AB42" s="9">
        <v>145</v>
      </c>
      <c r="AC42" s="9">
        <v>23</v>
      </c>
      <c r="AD42" s="9">
        <v>26</v>
      </c>
      <c r="AE42" s="9">
        <v>7</v>
      </c>
      <c r="AF42" s="9">
        <v>178</v>
      </c>
      <c r="AG42" s="9">
        <v>37</v>
      </c>
      <c r="AH42" s="9">
        <v>93</v>
      </c>
      <c r="AI42" s="9">
        <v>23</v>
      </c>
      <c r="AJ42" s="9">
        <v>442</v>
      </c>
      <c r="AK42" s="9">
        <v>90</v>
      </c>
      <c r="AL42" s="41">
        <v>532</v>
      </c>
      <c r="AN42" s="40" t="s">
        <v>67</v>
      </c>
      <c r="AO42" s="46">
        <v>148</v>
      </c>
      <c r="AP42" s="46">
        <v>24</v>
      </c>
      <c r="AQ42" s="46">
        <v>27</v>
      </c>
      <c r="AR42" s="46">
        <v>7</v>
      </c>
      <c r="AS42" s="46">
        <v>182</v>
      </c>
      <c r="AT42" s="46">
        <v>38</v>
      </c>
      <c r="AU42" s="46">
        <v>95</v>
      </c>
      <c r="AV42" s="46">
        <v>22</v>
      </c>
      <c r="AW42" s="46">
        <v>452</v>
      </c>
      <c r="AX42" s="46">
        <v>91</v>
      </c>
      <c r="AY42" s="47">
        <v>543</v>
      </c>
      <c r="BA42" s="40" t="s">
        <v>67</v>
      </c>
      <c r="BB42" s="46">
        <v>18</v>
      </c>
      <c r="BC42" s="46">
        <v>4</v>
      </c>
      <c r="BD42" s="46">
        <v>4</v>
      </c>
      <c r="BE42" s="9">
        <v>0</v>
      </c>
      <c r="BF42" s="46">
        <v>22</v>
      </c>
      <c r="BG42" s="46">
        <v>4</v>
      </c>
      <c r="BH42" s="46">
        <v>12</v>
      </c>
      <c r="BI42" s="46">
        <v>4</v>
      </c>
      <c r="BJ42" s="46">
        <v>56</v>
      </c>
      <c r="BK42" s="46">
        <v>12</v>
      </c>
      <c r="BL42" s="47">
        <v>68</v>
      </c>
    </row>
    <row r="43" spans="1:64" ht="32">
      <c r="A43" s="40" t="s">
        <v>68</v>
      </c>
      <c r="B43" s="9">
        <v>131</v>
      </c>
      <c r="C43" s="9">
        <v>20</v>
      </c>
      <c r="D43" s="9">
        <v>22</v>
      </c>
      <c r="E43" s="9">
        <v>6</v>
      </c>
      <c r="F43" s="9">
        <v>155</v>
      </c>
      <c r="G43" s="9">
        <v>32</v>
      </c>
      <c r="H43" s="9">
        <v>78</v>
      </c>
      <c r="I43" s="9">
        <v>19</v>
      </c>
      <c r="J43" s="9">
        <v>386</v>
      </c>
      <c r="K43" s="9">
        <v>77</v>
      </c>
      <c r="L43" s="41">
        <v>463</v>
      </c>
      <c r="N43" s="40" t="s">
        <v>68</v>
      </c>
      <c r="O43" s="9">
        <v>131</v>
      </c>
      <c r="P43" s="9">
        <v>20</v>
      </c>
      <c r="Q43" s="9">
        <v>22</v>
      </c>
      <c r="R43" s="9">
        <v>6</v>
      </c>
      <c r="S43" s="9">
        <v>154</v>
      </c>
      <c r="T43" s="9">
        <v>32</v>
      </c>
      <c r="U43" s="9">
        <v>77</v>
      </c>
      <c r="V43" s="9">
        <v>19</v>
      </c>
      <c r="W43" s="9">
        <v>384</v>
      </c>
      <c r="X43" s="9">
        <v>77</v>
      </c>
      <c r="Y43" s="41">
        <v>461</v>
      </c>
      <c r="AA43" s="40" t="s">
        <v>68</v>
      </c>
      <c r="AB43" s="9">
        <v>107</v>
      </c>
      <c r="AC43" s="9">
        <v>16</v>
      </c>
      <c r="AD43" s="9">
        <v>18</v>
      </c>
      <c r="AE43" s="9">
        <v>5</v>
      </c>
      <c r="AF43" s="9">
        <v>126</v>
      </c>
      <c r="AG43" s="9">
        <v>26</v>
      </c>
      <c r="AH43" s="9">
        <v>64</v>
      </c>
      <c r="AI43" s="9">
        <v>16</v>
      </c>
      <c r="AJ43" s="9">
        <v>315</v>
      </c>
      <c r="AK43" s="9">
        <v>63</v>
      </c>
      <c r="AL43" s="41">
        <v>378</v>
      </c>
      <c r="AN43" s="40" t="s">
        <v>68</v>
      </c>
      <c r="AO43" s="46">
        <v>109</v>
      </c>
      <c r="AP43" s="46">
        <v>16</v>
      </c>
      <c r="AQ43" s="46">
        <v>18</v>
      </c>
      <c r="AR43" s="46">
        <v>5</v>
      </c>
      <c r="AS43" s="46">
        <v>129</v>
      </c>
      <c r="AT43" s="46">
        <v>27</v>
      </c>
      <c r="AU43" s="46">
        <v>65</v>
      </c>
      <c r="AV43" s="46">
        <v>16</v>
      </c>
      <c r="AW43" s="46">
        <v>321</v>
      </c>
      <c r="AX43" s="46">
        <v>64</v>
      </c>
      <c r="AY43" s="47">
        <v>385</v>
      </c>
      <c r="BA43" s="40" t="s">
        <v>68</v>
      </c>
      <c r="BB43" s="46">
        <v>14</v>
      </c>
      <c r="BC43" s="46">
        <v>2</v>
      </c>
      <c r="BD43" s="46">
        <v>2</v>
      </c>
      <c r="BE43" s="9">
        <v>0</v>
      </c>
      <c r="BF43" s="46">
        <v>18</v>
      </c>
      <c r="BG43" s="46">
        <v>4</v>
      </c>
      <c r="BH43" s="46">
        <v>10</v>
      </c>
      <c r="BI43" s="46">
        <v>2</v>
      </c>
      <c r="BJ43" s="46">
        <v>44</v>
      </c>
      <c r="BK43" s="46">
        <v>8</v>
      </c>
      <c r="BL43" s="47">
        <v>52</v>
      </c>
    </row>
    <row r="44" spans="1:64">
      <c r="A44" s="40" t="s">
        <v>162</v>
      </c>
      <c r="B44" s="9">
        <v>66</v>
      </c>
      <c r="C44" s="9">
        <v>8</v>
      </c>
      <c r="D44" s="9">
        <v>11</v>
      </c>
      <c r="E44" s="9">
        <v>2</v>
      </c>
      <c r="F44" s="9">
        <v>80</v>
      </c>
      <c r="G44" s="9">
        <v>12</v>
      </c>
      <c r="H44" s="9">
        <v>44</v>
      </c>
      <c r="I44" s="9">
        <v>8</v>
      </c>
      <c r="J44" s="9">
        <v>201</v>
      </c>
      <c r="K44" s="9">
        <v>30</v>
      </c>
      <c r="L44" s="41">
        <v>231</v>
      </c>
      <c r="N44" s="40" t="s">
        <v>162</v>
      </c>
      <c r="O44" s="9">
        <v>65</v>
      </c>
      <c r="P44" s="9">
        <v>8</v>
      </c>
      <c r="Q44" s="9">
        <v>11</v>
      </c>
      <c r="R44" s="9">
        <v>2</v>
      </c>
      <c r="S44" s="9">
        <v>80</v>
      </c>
      <c r="T44" s="9">
        <v>12</v>
      </c>
      <c r="U44" s="9">
        <v>44</v>
      </c>
      <c r="V44" s="9">
        <v>8</v>
      </c>
      <c r="W44" s="9">
        <v>200</v>
      </c>
      <c r="X44" s="9">
        <v>30</v>
      </c>
      <c r="Y44" s="41">
        <v>230</v>
      </c>
      <c r="AA44" s="40" t="s">
        <v>162</v>
      </c>
      <c r="AB44" s="9">
        <v>54</v>
      </c>
      <c r="AC44" s="9">
        <v>6</v>
      </c>
      <c r="AD44" s="9">
        <v>9</v>
      </c>
      <c r="AE44" s="9">
        <v>2</v>
      </c>
      <c r="AF44" s="9">
        <v>65</v>
      </c>
      <c r="AG44" s="9">
        <v>10</v>
      </c>
      <c r="AH44" s="9">
        <v>36</v>
      </c>
      <c r="AI44" s="9">
        <v>6</v>
      </c>
      <c r="AJ44" s="9">
        <v>164</v>
      </c>
      <c r="AK44" s="9">
        <v>24</v>
      </c>
      <c r="AL44" s="41">
        <v>188</v>
      </c>
      <c r="AN44" s="40" t="s">
        <v>162</v>
      </c>
      <c r="AO44" s="46">
        <v>54</v>
      </c>
      <c r="AP44" s="46">
        <v>6</v>
      </c>
      <c r="AQ44" s="46">
        <v>9</v>
      </c>
      <c r="AR44" s="46">
        <v>2</v>
      </c>
      <c r="AS44" s="46">
        <v>67</v>
      </c>
      <c r="AT44" s="46">
        <v>10</v>
      </c>
      <c r="AU44" s="46">
        <v>37</v>
      </c>
      <c r="AV44" s="46">
        <v>7</v>
      </c>
      <c r="AW44" s="46">
        <v>167</v>
      </c>
      <c r="AX44" s="46">
        <v>25</v>
      </c>
      <c r="AY44" s="47">
        <v>192</v>
      </c>
      <c r="BA44" s="40" t="s">
        <v>162</v>
      </c>
      <c r="BB44" s="46">
        <v>6</v>
      </c>
      <c r="BC44" s="9">
        <v>0</v>
      </c>
      <c r="BD44" s="46">
        <v>2</v>
      </c>
      <c r="BE44" s="9">
        <v>0</v>
      </c>
      <c r="BF44" s="46">
        <v>8</v>
      </c>
      <c r="BG44" s="9">
        <v>0</v>
      </c>
      <c r="BH44" s="46">
        <v>4</v>
      </c>
      <c r="BI44" s="46">
        <v>2</v>
      </c>
      <c r="BJ44" s="46">
        <v>20</v>
      </c>
      <c r="BK44" s="46">
        <v>2</v>
      </c>
      <c r="BL44" s="47">
        <v>22</v>
      </c>
    </row>
    <row r="45" spans="1:64" ht="17.5" thickBot="1">
      <c r="A45" s="42" t="s">
        <v>160</v>
      </c>
      <c r="B45" s="16">
        <v>998</v>
      </c>
      <c r="C45" s="16">
        <v>998</v>
      </c>
      <c r="D45" s="16">
        <v>222</v>
      </c>
      <c r="E45" s="16">
        <v>222</v>
      </c>
      <c r="F45" s="17">
        <v>1429</v>
      </c>
      <c r="G45" s="17">
        <v>1429</v>
      </c>
      <c r="H45" s="16">
        <v>870</v>
      </c>
      <c r="I45" s="16">
        <v>870</v>
      </c>
      <c r="J45" s="17">
        <v>3519</v>
      </c>
      <c r="K45" s="17">
        <v>3519</v>
      </c>
      <c r="L45" s="43">
        <v>7038</v>
      </c>
      <c r="N45" s="42" t="s">
        <v>160</v>
      </c>
      <c r="O45" s="16">
        <v>992</v>
      </c>
      <c r="P45" s="16">
        <v>992</v>
      </c>
      <c r="Q45" s="16">
        <v>221</v>
      </c>
      <c r="R45" s="16">
        <v>221</v>
      </c>
      <c r="S45" s="17">
        <v>1420</v>
      </c>
      <c r="T45" s="17">
        <v>1420</v>
      </c>
      <c r="U45" s="16">
        <v>865</v>
      </c>
      <c r="V45" s="16">
        <v>865</v>
      </c>
      <c r="W45" s="17">
        <v>3498</v>
      </c>
      <c r="X45" s="17">
        <v>3498</v>
      </c>
      <c r="Y45" s="43">
        <v>6996</v>
      </c>
      <c r="AA45" s="42" t="s">
        <v>160</v>
      </c>
      <c r="AB45" s="16">
        <v>813</v>
      </c>
      <c r="AC45" s="16">
        <v>813</v>
      </c>
      <c r="AD45" s="16">
        <v>181</v>
      </c>
      <c r="AE45" s="16">
        <v>181</v>
      </c>
      <c r="AF45" s="17">
        <v>1164</v>
      </c>
      <c r="AG45" s="17">
        <v>1164</v>
      </c>
      <c r="AH45" s="16">
        <v>708</v>
      </c>
      <c r="AI45" s="16">
        <v>708</v>
      </c>
      <c r="AJ45" s="17">
        <v>2866</v>
      </c>
      <c r="AK45" s="17">
        <v>2866</v>
      </c>
      <c r="AL45" s="43">
        <v>5732</v>
      </c>
      <c r="AN45" s="42" t="s">
        <v>160</v>
      </c>
      <c r="AO45" s="48">
        <v>829</v>
      </c>
      <c r="AP45" s="48">
        <v>829</v>
      </c>
      <c r="AQ45" s="48">
        <v>185</v>
      </c>
      <c r="AR45" s="48">
        <v>185</v>
      </c>
      <c r="AS45" s="51">
        <v>1187</v>
      </c>
      <c r="AT45" s="51">
        <v>1187</v>
      </c>
      <c r="AU45" s="48">
        <v>722</v>
      </c>
      <c r="AV45" s="48">
        <v>722</v>
      </c>
      <c r="AW45" s="51">
        <v>2923</v>
      </c>
      <c r="AX45" s="51">
        <v>2923</v>
      </c>
      <c r="AY45" s="52">
        <v>5846</v>
      </c>
      <c r="BA45" s="42" t="s">
        <v>160</v>
      </c>
      <c r="BB45" s="48">
        <v>104</v>
      </c>
      <c r="BC45" s="48">
        <v>104</v>
      </c>
      <c r="BD45" s="48">
        <v>22</v>
      </c>
      <c r="BE45" s="48">
        <v>22</v>
      </c>
      <c r="BF45" s="48">
        <v>146</v>
      </c>
      <c r="BG45" s="48">
        <v>146</v>
      </c>
      <c r="BH45" s="48">
        <v>90</v>
      </c>
      <c r="BI45" s="48">
        <v>90</v>
      </c>
      <c r="BJ45" s="48">
        <v>362</v>
      </c>
      <c r="BK45" s="48">
        <v>362</v>
      </c>
      <c r="BL45" s="49">
        <v>724</v>
      </c>
    </row>
    <row r="46" spans="1:64" ht="17.5" thickTop="1">
      <c r="A46" s="56"/>
      <c r="B46" s="20"/>
      <c r="C46" s="20"/>
      <c r="D46" s="20"/>
      <c r="E46" s="20"/>
      <c r="F46" s="21"/>
      <c r="G46" s="21"/>
      <c r="H46" s="20"/>
      <c r="I46" s="20"/>
      <c r="J46" s="21"/>
      <c r="K46" s="21"/>
      <c r="L46" s="21"/>
    </row>
    <row r="47" spans="1:64" ht="17.5" thickBot="1">
      <c r="A47" s="57" t="s">
        <v>180</v>
      </c>
      <c r="N47" t="s">
        <v>182</v>
      </c>
      <c r="AA47" s="57" t="s">
        <v>185</v>
      </c>
      <c r="AN47" s="63" t="s">
        <v>186</v>
      </c>
      <c r="BA47" s="57" t="s">
        <v>187</v>
      </c>
    </row>
    <row r="48" spans="1:64" ht="17.5" thickTop="1">
      <c r="A48" s="642" t="s">
        <v>39</v>
      </c>
      <c r="B48" s="645" t="s">
        <v>173</v>
      </c>
      <c r="C48" s="646"/>
      <c r="D48" s="646"/>
      <c r="E48" s="646"/>
      <c r="F48" s="646"/>
      <c r="G48" s="646"/>
      <c r="H48" s="647"/>
      <c r="N48" s="544" t="s">
        <v>39</v>
      </c>
      <c r="O48" s="58" t="s">
        <v>181</v>
      </c>
      <c r="P48" s="59"/>
      <c r="Q48" s="59"/>
      <c r="R48" s="59"/>
      <c r="S48" s="59"/>
      <c r="T48" s="59"/>
      <c r="U48" s="62"/>
      <c r="AA48" s="544" t="s">
        <v>175</v>
      </c>
      <c r="AB48" s="638" t="s">
        <v>181</v>
      </c>
      <c r="AC48" s="639"/>
      <c r="AD48" s="639"/>
      <c r="AE48" s="639"/>
      <c r="AF48" s="639"/>
      <c r="AG48" s="639"/>
      <c r="AH48" s="640"/>
      <c r="AN48" s="544" t="s">
        <v>177</v>
      </c>
      <c r="AO48" s="638" t="s">
        <v>181</v>
      </c>
      <c r="AP48" s="639"/>
      <c r="AQ48" s="639"/>
      <c r="AR48" s="639"/>
      <c r="AS48" s="639"/>
      <c r="AT48" s="639"/>
      <c r="AU48" s="640"/>
      <c r="BA48" s="544" t="s">
        <v>39</v>
      </c>
      <c r="BB48" s="638" t="s">
        <v>181</v>
      </c>
      <c r="BC48" s="639"/>
      <c r="BD48" s="639"/>
      <c r="BE48" s="639"/>
      <c r="BF48" s="639"/>
      <c r="BG48" s="639"/>
      <c r="BH48" s="640"/>
    </row>
    <row r="49" spans="1:60">
      <c r="A49" s="643"/>
      <c r="B49" s="648" t="s">
        <v>156</v>
      </c>
      <c r="C49" s="649"/>
      <c r="D49" s="648" t="s">
        <v>174</v>
      </c>
      <c r="E49" s="649"/>
      <c r="F49" s="648" t="s">
        <v>160</v>
      </c>
      <c r="G49" s="650"/>
      <c r="H49" s="649"/>
      <c r="N49" s="641"/>
      <c r="O49" s="35" t="s">
        <v>156</v>
      </c>
      <c r="P49" s="60"/>
      <c r="Q49" s="35" t="s">
        <v>174</v>
      </c>
      <c r="R49" s="60"/>
      <c r="S49" s="35" t="s">
        <v>160</v>
      </c>
      <c r="T49" s="61"/>
      <c r="U49" s="60"/>
      <c r="AA49" s="641"/>
      <c r="AB49" s="550" t="s">
        <v>156</v>
      </c>
      <c r="AC49" s="551"/>
      <c r="AD49" s="550" t="s">
        <v>174</v>
      </c>
      <c r="AE49" s="551"/>
      <c r="AF49" s="550" t="s">
        <v>160</v>
      </c>
      <c r="AG49" s="552"/>
      <c r="AH49" s="551"/>
      <c r="AN49" s="641"/>
      <c r="AO49" s="550" t="s">
        <v>156</v>
      </c>
      <c r="AP49" s="551"/>
      <c r="AQ49" s="550" t="s">
        <v>174</v>
      </c>
      <c r="AR49" s="551"/>
      <c r="AS49" s="550" t="s">
        <v>160</v>
      </c>
      <c r="AT49" s="552"/>
      <c r="AU49" s="551"/>
      <c r="BA49" s="641"/>
      <c r="BB49" s="550" t="s">
        <v>156</v>
      </c>
      <c r="BC49" s="551"/>
      <c r="BD49" s="550" t="s">
        <v>174</v>
      </c>
      <c r="BE49" s="551"/>
      <c r="BF49" s="550" t="s">
        <v>160</v>
      </c>
      <c r="BG49" s="552"/>
      <c r="BH49" s="551"/>
    </row>
    <row r="50" spans="1:60" ht="17.5" thickBot="1">
      <c r="A50" s="644"/>
      <c r="B50" s="50" t="s">
        <v>40</v>
      </c>
      <c r="C50" s="50" t="s">
        <v>41</v>
      </c>
      <c r="D50" s="50" t="s">
        <v>40</v>
      </c>
      <c r="E50" s="50" t="s">
        <v>41</v>
      </c>
      <c r="F50" s="50" t="s">
        <v>40</v>
      </c>
      <c r="G50" s="50" t="s">
        <v>41</v>
      </c>
      <c r="H50" s="50" t="s">
        <v>21</v>
      </c>
      <c r="N50" s="546"/>
      <c r="O50" s="36" t="s">
        <v>40</v>
      </c>
      <c r="P50" s="36" t="s">
        <v>41</v>
      </c>
      <c r="Q50" s="36" t="s">
        <v>40</v>
      </c>
      <c r="R50" s="36" t="s">
        <v>41</v>
      </c>
      <c r="S50" s="36" t="s">
        <v>40</v>
      </c>
      <c r="T50" s="36" t="s">
        <v>41</v>
      </c>
      <c r="U50" s="36" t="s">
        <v>21</v>
      </c>
      <c r="AA50" s="546"/>
      <c r="AB50" s="36" t="s">
        <v>40</v>
      </c>
      <c r="AC50" s="36" t="s">
        <v>41</v>
      </c>
      <c r="AD50" s="36" t="s">
        <v>40</v>
      </c>
      <c r="AE50" s="36" t="s">
        <v>41</v>
      </c>
      <c r="AF50" s="36" t="s">
        <v>40</v>
      </c>
      <c r="AG50" s="36" t="s">
        <v>41</v>
      </c>
      <c r="AH50" s="36" t="s">
        <v>21</v>
      </c>
      <c r="AN50" s="546"/>
      <c r="AO50" s="36" t="s">
        <v>40</v>
      </c>
      <c r="AP50" s="36" t="s">
        <v>41</v>
      </c>
      <c r="AQ50" s="36" t="s">
        <v>40</v>
      </c>
      <c r="AR50" s="36" t="s">
        <v>41</v>
      </c>
      <c r="AS50" s="36" t="s">
        <v>40</v>
      </c>
      <c r="AT50" s="36" t="s">
        <v>41</v>
      </c>
      <c r="AU50" s="36" t="s">
        <v>21</v>
      </c>
      <c r="BA50" s="546"/>
      <c r="BB50" s="36" t="s">
        <v>40</v>
      </c>
      <c r="BC50" s="36" t="s">
        <v>41</v>
      </c>
      <c r="BD50" s="36" t="s">
        <v>40</v>
      </c>
      <c r="BE50" s="36" t="s">
        <v>41</v>
      </c>
      <c r="BF50" s="36" t="s">
        <v>40</v>
      </c>
      <c r="BG50" s="36" t="s">
        <v>41</v>
      </c>
      <c r="BH50" s="36" t="s">
        <v>21</v>
      </c>
    </row>
    <row r="51" spans="1:60" ht="17.5" thickTop="1">
      <c r="A51" s="38" t="s">
        <v>161</v>
      </c>
      <c r="B51" s="44" t="s">
        <v>22</v>
      </c>
      <c r="C51" s="44">
        <v>31</v>
      </c>
      <c r="D51" s="44">
        <v>5</v>
      </c>
      <c r="E51" s="44">
        <v>5</v>
      </c>
      <c r="F51" s="44">
        <v>5</v>
      </c>
      <c r="G51" s="44">
        <v>36</v>
      </c>
      <c r="H51" s="44">
        <v>41</v>
      </c>
      <c r="N51" s="38" t="s">
        <v>161</v>
      </c>
      <c r="O51" s="44" t="s">
        <v>22</v>
      </c>
      <c r="P51" s="44">
        <v>31</v>
      </c>
      <c r="Q51" s="44">
        <v>5</v>
      </c>
      <c r="R51" s="44">
        <v>5</v>
      </c>
      <c r="S51" s="44">
        <v>5</v>
      </c>
      <c r="T51" s="44">
        <v>36</v>
      </c>
      <c r="U51" s="44">
        <v>41</v>
      </c>
      <c r="AA51" s="38" t="s">
        <v>161</v>
      </c>
      <c r="AB51" s="44" t="s">
        <v>22</v>
      </c>
      <c r="AC51" s="44">
        <v>26</v>
      </c>
      <c r="AD51" s="44">
        <v>4</v>
      </c>
      <c r="AE51" s="44">
        <v>4</v>
      </c>
      <c r="AF51" s="44">
        <v>4</v>
      </c>
      <c r="AG51" s="44">
        <v>30</v>
      </c>
      <c r="AH51" s="44">
        <v>34</v>
      </c>
      <c r="AN51" s="38" t="s">
        <v>161</v>
      </c>
      <c r="AO51" s="44" t="s">
        <v>22</v>
      </c>
      <c r="AP51" s="44">
        <v>26</v>
      </c>
      <c r="AQ51" s="44">
        <v>4</v>
      </c>
      <c r="AR51" s="44">
        <v>4</v>
      </c>
      <c r="AS51" s="44">
        <v>4</v>
      </c>
      <c r="AT51" s="44">
        <v>30</v>
      </c>
      <c r="AU51" s="44">
        <v>34</v>
      </c>
      <c r="BA51" s="38" t="s">
        <v>161</v>
      </c>
      <c r="BB51" s="44">
        <v>0</v>
      </c>
      <c r="BC51" s="44">
        <v>4</v>
      </c>
      <c r="BD51" s="44">
        <v>0</v>
      </c>
      <c r="BE51" s="44">
        <v>0</v>
      </c>
      <c r="BF51" s="44">
        <v>0</v>
      </c>
      <c r="BG51" s="44">
        <v>4</v>
      </c>
      <c r="BH51" s="44">
        <v>4</v>
      </c>
    </row>
    <row r="52" spans="1:60" ht="32">
      <c r="A52" s="40" t="s">
        <v>55</v>
      </c>
      <c r="B52" s="46">
        <v>1</v>
      </c>
      <c r="C52" s="46">
        <v>105</v>
      </c>
      <c r="D52" s="46">
        <v>16</v>
      </c>
      <c r="E52" s="46">
        <v>16</v>
      </c>
      <c r="F52" s="46">
        <v>17</v>
      </c>
      <c r="G52" s="46">
        <v>121</v>
      </c>
      <c r="H52" s="46">
        <v>138</v>
      </c>
      <c r="N52" s="40" t="s">
        <v>55</v>
      </c>
      <c r="O52" s="46">
        <v>1</v>
      </c>
      <c r="P52" s="46">
        <v>104</v>
      </c>
      <c r="Q52" s="46">
        <v>16</v>
      </c>
      <c r="R52" s="46">
        <v>16</v>
      </c>
      <c r="S52" s="46">
        <v>17</v>
      </c>
      <c r="T52" s="46">
        <v>120</v>
      </c>
      <c r="U52" s="46">
        <v>137</v>
      </c>
      <c r="AA52" s="40" t="s">
        <v>55</v>
      </c>
      <c r="AB52" s="46">
        <v>1</v>
      </c>
      <c r="AC52" s="46">
        <v>85</v>
      </c>
      <c r="AD52" s="46">
        <v>12</v>
      </c>
      <c r="AE52" s="46">
        <v>12</v>
      </c>
      <c r="AF52" s="46">
        <v>13</v>
      </c>
      <c r="AG52" s="46">
        <v>97</v>
      </c>
      <c r="AH52" s="46">
        <v>110</v>
      </c>
      <c r="AN52" s="40" t="s">
        <v>55</v>
      </c>
      <c r="AO52" s="46">
        <v>1</v>
      </c>
      <c r="AP52" s="46">
        <v>87</v>
      </c>
      <c r="AQ52" s="46">
        <v>14</v>
      </c>
      <c r="AR52" s="46">
        <v>14</v>
      </c>
      <c r="AS52" s="46">
        <v>15</v>
      </c>
      <c r="AT52" s="46">
        <v>101</v>
      </c>
      <c r="AU52" s="46">
        <v>116</v>
      </c>
      <c r="BA52" s="40" t="s">
        <v>55</v>
      </c>
      <c r="BB52" s="46">
        <v>0</v>
      </c>
      <c r="BC52" s="46">
        <v>10</v>
      </c>
      <c r="BD52" s="46">
        <v>2</v>
      </c>
      <c r="BE52" s="46">
        <v>2</v>
      </c>
      <c r="BF52" s="46">
        <v>2</v>
      </c>
      <c r="BG52" s="46">
        <v>12</v>
      </c>
      <c r="BH52" s="46">
        <v>14</v>
      </c>
    </row>
    <row r="53" spans="1:60" ht="32">
      <c r="A53" s="40" t="s">
        <v>56</v>
      </c>
      <c r="B53" s="46">
        <v>6</v>
      </c>
      <c r="C53" s="46">
        <v>136</v>
      </c>
      <c r="D53" s="46">
        <v>22</v>
      </c>
      <c r="E53" s="46">
        <v>22</v>
      </c>
      <c r="F53" s="46">
        <v>28</v>
      </c>
      <c r="G53" s="46">
        <v>158</v>
      </c>
      <c r="H53" s="46">
        <v>186</v>
      </c>
      <c r="N53" s="40" t="s">
        <v>56</v>
      </c>
      <c r="O53" s="46">
        <v>6</v>
      </c>
      <c r="P53" s="46">
        <v>136</v>
      </c>
      <c r="Q53" s="46">
        <v>22</v>
      </c>
      <c r="R53" s="46">
        <v>22</v>
      </c>
      <c r="S53" s="46">
        <v>28</v>
      </c>
      <c r="T53" s="46">
        <v>158</v>
      </c>
      <c r="U53" s="46">
        <v>186</v>
      </c>
      <c r="AA53" s="40" t="s">
        <v>56</v>
      </c>
      <c r="AB53" s="46">
        <v>5</v>
      </c>
      <c r="AC53" s="46">
        <v>111</v>
      </c>
      <c r="AD53" s="46">
        <v>17</v>
      </c>
      <c r="AE53" s="46">
        <v>17</v>
      </c>
      <c r="AF53" s="46">
        <v>22</v>
      </c>
      <c r="AG53" s="46">
        <v>128</v>
      </c>
      <c r="AH53" s="46">
        <v>150</v>
      </c>
      <c r="AN53" s="40" t="s">
        <v>56</v>
      </c>
      <c r="AO53" s="46">
        <v>5</v>
      </c>
      <c r="AP53" s="46">
        <v>112</v>
      </c>
      <c r="AQ53" s="46">
        <v>18</v>
      </c>
      <c r="AR53" s="46">
        <v>18</v>
      </c>
      <c r="AS53" s="46">
        <v>23</v>
      </c>
      <c r="AT53" s="46">
        <v>130</v>
      </c>
      <c r="AU53" s="46">
        <v>153</v>
      </c>
      <c r="BA53" s="40" t="s">
        <v>56</v>
      </c>
      <c r="BB53" s="46">
        <v>0</v>
      </c>
      <c r="BC53" s="46">
        <v>12</v>
      </c>
      <c r="BD53" s="46">
        <v>2</v>
      </c>
      <c r="BE53" s="46">
        <v>2</v>
      </c>
      <c r="BF53" s="46">
        <v>2</v>
      </c>
      <c r="BG53" s="46">
        <v>14</v>
      </c>
      <c r="BH53" s="46">
        <v>16</v>
      </c>
    </row>
    <row r="54" spans="1:60" ht="32">
      <c r="A54" s="40" t="s">
        <v>57</v>
      </c>
      <c r="B54" s="46">
        <v>13</v>
      </c>
      <c r="C54" s="46">
        <v>47</v>
      </c>
      <c r="D54" s="46">
        <v>8</v>
      </c>
      <c r="E54" s="46">
        <v>8</v>
      </c>
      <c r="F54" s="46">
        <v>21</v>
      </c>
      <c r="G54" s="46">
        <v>55</v>
      </c>
      <c r="H54" s="46">
        <v>76</v>
      </c>
      <c r="N54" s="40" t="s">
        <v>57</v>
      </c>
      <c r="O54" s="46">
        <v>12</v>
      </c>
      <c r="P54" s="46">
        <v>46</v>
      </c>
      <c r="Q54" s="46">
        <v>8</v>
      </c>
      <c r="R54" s="46">
        <v>8</v>
      </c>
      <c r="S54" s="46">
        <v>20</v>
      </c>
      <c r="T54" s="46">
        <v>54</v>
      </c>
      <c r="U54" s="46">
        <v>74</v>
      </c>
      <c r="AA54" s="40" t="s">
        <v>57</v>
      </c>
      <c r="AB54" s="46">
        <v>10</v>
      </c>
      <c r="AC54" s="46">
        <v>38</v>
      </c>
      <c r="AD54" s="46">
        <v>7</v>
      </c>
      <c r="AE54" s="46">
        <v>7</v>
      </c>
      <c r="AF54" s="46">
        <v>17</v>
      </c>
      <c r="AG54" s="46">
        <v>45</v>
      </c>
      <c r="AH54" s="46">
        <v>62</v>
      </c>
      <c r="AN54" s="40" t="s">
        <v>57</v>
      </c>
      <c r="AO54" s="46">
        <v>10</v>
      </c>
      <c r="AP54" s="46">
        <v>38</v>
      </c>
      <c r="AQ54" s="46">
        <v>7</v>
      </c>
      <c r="AR54" s="46">
        <v>7</v>
      </c>
      <c r="AS54" s="46">
        <v>17</v>
      </c>
      <c r="AT54" s="46">
        <v>45</v>
      </c>
      <c r="AU54" s="46">
        <v>62</v>
      </c>
      <c r="BA54" s="40" t="s">
        <v>57</v>
      </c>
      <c r="BB54" s="46">
        <v>2</v>
      </c>
      <c r="BC54" s="46">
        <v>2</v>
      </c>
      <c r="BD54" s="46">
        <v>0</v>
      </c>
      <c r="BE54" s="46">
        <v>0</v>
      </c>
      <c r="BF54" s="46">
        <v>2</v>
      </c>
      <c r="BG54" s="46">
        <v>2</v>
      </c>
      <c r="BH54" s="46">
        <v>4</v>
      </c>
    </row>
    <row r="55" spans="1:60" ht="32">
      <c r="A55" s="40" t="s">
        <v>58</v>
      </c>
      <c r="B55" s="46">
        <v>22</v>
      </c>
      <c r="C55" s="46">
        <v>32</v>
      </c>
      <c r="D55" s="46">
        <v>7</v>
      </c>
      <c r="E55" s="46">
        <v>7</v>
      </c>
      <c r="F55" s="46">
        <v>29</v>
      </c>
      <c r="G55" s="46">
        <v>39</v>
      </c>
      <c r="H55" s="46">
        <v>68</v>
      </c>
      <c r="N55" s="40" t="s">
        <v>58</v>
      </c>
      <c r="O55" s="46">
        <v>22</v>
      </c>
      <c r="P55" s="46">
        <v>32</v>
      </c>
      <c r="Q55" s="46">
        <v>7</v>
      </c>
      <c r="R55" s="46">
        <v>7</v>
      </c>
      <c r="S55" s="46">
        <v>29</v>
      </c>
      <c r="T55" s="46">
        <v>39</v>
      </c>
      <c r="U55" s="46">
        <v>68</v>
      </c>
      <c r="AA55" s="40" t="s">
        <v>58</v>
      </c>
      <c r="AB55" s="46">
        <v>18</v>
      </c>
      <c r="AC55" s="46">
        <v>26</v>
      </c>
      <c r="AD55" s="46">
        <v>6</v>
      </c>
      <c r="AE55" s="46">
        <v>6</v>
      </c>
      <c r="AF55" s="46">
        <v>24</v>
      </c>
      <c r="AG55" s="46">
        <v>32</v>
      </c>
      <c r="AH55" s="46">
        <v>56</v>
      </c>
      <c r="AN55" s="40" t="s">
        <v>58</v>
      </c>
      <c r="AO55" s="46">
        <v>19</v>
      </c>
      <c r="AP55" s="46">
        <v>27</v>
      </c>
      <c r="AQ55" s="46">
        <v>6</v>
      </c>
      <c r="AR55" s="46">
        <v>6</v>
      </c>
      <c r="AS55" s="46">
        <v>25</v>
      </c>
      <c r="AT55" s="46">
        <v>33</v>
      </c>
      <c r="AU55" s="46">
        <v>58</v>
      </c>
      <c r="BA55" s="40" t="s">
        <v>58</v>
      </c>
      <c r="BB55" s="46">
        <v>2</v>
      </c>
      <c r="BC55" s="46">
        <v>4</v>
      </c>
      <c r="BD55" s="46">
        <v>0</v>
      </c>
      <c r="BE55" s="46">
        <v>0</v>
      </c>
      <c r="BF55" s="46">
        <v>2</v>
      </c>
      <c r="BG55" s="46">
        <v>4</v>
      </c>
      <c r="BH55" s="46">
        <v>6</v>
      </c>
    </row>
    <row r="56" spans="1:60" ht="32">
      <c r="A56" s="40" t="s">
        <v>59</v>
      </c>
      <c r="B56" s="46">
        <v>26</v>
      </c>
      <c r="C56" s="46">
        <v>29</v>
      </c>
      <c r="D56" s="46">
        <v>7</v>
      </c>
      <c r="E56" s="46">
        <v>7</v>
      </c>
      <c r="F56" s="46">
        <v>33</v>
      </c>
      <c r="G56" s="46">
        <v>36</v>
      </c>
      <c r="H56" s="46">
        <v>69</v>
      </c>
      <c r="N56" s="40" t="s">
        <v>59</v>
      </c>
      <c r="O56" s="46">
        <v>25</v>
      </c>
      <c r="P56" s="46">
        <v>28</v>
      </c>
      <c r="Q56" s="46">
        <v>7</v>
      </c>
      <c r="R56" s="46">
        <v>7</v>
      </c>
      <c r="S56" s="46">
        <v>32</v>
      </c>
      <c r="T56" s="46">
        <v>35</v>
      </c>
      <c r="U56" s="46">
        <v>67</v>
      </c>
      <c r="AA56" s="40" t="s">
        <v>59</v>
      </c>
      <c r="AB56" s="46">
        <v>21</v>
      </c>
      <c r="AC56" s="46">
        <v>23</v>
      </c>
      <c r="AD56" s="46">
        <v>6</v>
      </c>
      <c r="AE56" s="46">
        <v>6</v>
      </c>
      <c r="AF56" s="46">
        <v>27</v>
      </c>
      <c r="AG56" s="46">
        <v>29</v>
      </c>
      <c r="AH56" s="46">
        <v>56</v>
      </c>
      <c r="AN56" s="40" t="s">
        <v>59</v>
      </c>
      <c r="AO56" s="46">
        <v>21</v>
      </c>
      <c r="AP56" s="46">
        <v>24</v>
      </c>
      <c r="AQ56" s="46">
        <v>6</v>
      </c>
      <c r="AR56" s="46">
        <v>6</v>
      </c>
      <c r="AS56" s="46">
        <v>27</v>
      </c>
      <c r="AT56" s="46">
        <v>30</v>
      </c>
      <c r="AU56" s="46">
        <v>57</v>
      </c>
      <c r="BA56" s="40" t="s">
        <v>59</v>
      </c>
      <c r="BB56" s="46">
        <v>2</v>
      </c>
      <c r="BC56" s="46">
        <v>2</v>
      </c>
      <c r="BD56" s="46">
        <v>0</v>
      </c>
      <c r="BE56" s="46">
        <v>0</v>
      </c>
      <c r="BF56" s="46">
        <v>2</v>
      </c>
      <c r="BG56" s="46">
        <v>2</v>
      </c>
      <c r="BH56" s="46">
        <v>4</v>
      </c>
    </row>
    <row r="57" spans="1:60" ht="32">
      <c r="A57" s="40" t="s">
        <v>60</v>
      </c>
      <c r="B57" s="46">
        <v>27</v>
      </c>
      <c r="C57" s="46">
        <v>29</v>
      </c>
      <c r="D57" s="46">
        <v>7</v>
      </c>
      <c r="E57" s="46">
        <v>7</v>
      </c>
      <c r="F57" s="46">
        <v>34</v>
      </c>
      <c r="G57" s="46">
        <v>36</v>
      </c>
      <c r="H57" s="46">
        <v>70</v>
      </c>
      <c r="N57" s="40" t="s">
        <v>60</v>
      </c>
      <c r="O57" s="46">
        <v>27</v>
      </c>
      <c r="P57" s="46">
        <v>29</v>
      </c>
      <c r="Q57" s="46">
        <v>7</v>
      </c>
      <c r="R57" s="46">
        <v>7</v>
      </c>
      <c r="S57" s="46">
        <v>34</v>
      </c>
      <c r="T57" s="46">
        <v>36</v>
      </c>
      <c r="U57" s="46">
        <v>70</v>
      </c>
      <c r="AA57" s="40" t="s">
        <v>60</v>
      </c>
      <c r="AB57" s="46">
        <v>22</v>
      </c>
      <c r="AC57" s="46">
        <v>23</v>
      </c>
      <c r="AD57" s="46">
        <v>6</v>
      </c>
      <c r="AE57" s="46">
        <v>6</v>
      </c>
      <c r="AF57" s="46">
        <v>28</v>
      </c>
      <c r="AG57" s="46">
        <v>29</v>
      </c>
      <c r="AH57" s="46">
        <v>57</v>
      </c>
      <c r="AN57" s="40" t="s">
        <v>60</v>
      </c>
      <c r="AO57" s="46">
        <v>22</v>
      </c>
      <c r="AP57" s="46">
        <v>24</v>
      </c>
      <c r="AQ57" s="46">
        <v>6</v>
      </c>
      <c r="AR57" s="46">
        <v>6</v>
      </c>
      <c r="AS57" s="46">
        <v>28</v>
      </c>
      <c r="AT57" s="46">
        <v>30</v>
      </c>
      <c r="AU57" s="46">
        <v>58</v>
      </c>
      <c r="BA57" s="40" t="s">
        <v>60</v>
      </c>
      <c r="BB57" s="46">
        <v>2</v>
      </c>
      <c r="BC57" s="46">
        <v>4</v>
      </c>
      <c r="BD57" s="46">
        <v>0</v>
      </c>
      <c r="BE57" s="46">
        <v>0</v>
      </c>
      <c r="BF57" s="46">
        <v>2</v>
      </c>
      <c r="BG57" s="46">
        <v>4</v>
      </c>
      <c r="BH57" s="46">
        <v>6</v>
      </c>
    </row>
    <row r="58" spans="1:60" ht="32">
      <c r="A58" s="40" t="s">
        <v>61</v>
      </c>
      <c r="B58" s="46">
        <v>33</v>
      </c>
      <c r="C58" s="46">
        <v>32</v>
      </c>
      <c r="D58" s="46">
        <v>9</v>
      </c>
      <c r="E58" s="46">
        <v>9</v>
      </c>
      <c r="F58" s="46">
        <v>42</v>
      </c>
      <c r="G58" s="46">
        <v>41</v>
      </c>
      <c r="H58" s="46">
        <v>83</v>
      </c>
      <c r="N58" s="40" t="s">
        <v>61</v>
      </c>
      <c r="O58" s="46">
        <v>33</v>
      </c>
      <c r="P58" s="46">
        <v>32</v>
      </c>
      <c r="Q58" s="46">
        <v>9</v>
      </c>
      <c r="R58" s="46">
        <v>9</v>
      </c>
      <c r="S58" s="46">
        <v>42</v>
      </c>
      <c r="T58" s="46">
        <v>41</v>
      </c>
      <c r="U58" s="46">
        <v>83</v>
      </c>
      <c r="AA58" s="40" t="s">
        <v>61</v>
      </c>
      <c r="AB58" s="46">
        <v>27</v>
      </c>
      <c r="AC58" s="46">
        <v>26</v>
      </c>
      <c r="AD58" s="46">
        <v>7</v>
      </c>
      <c r="AE58" s="46">
        <v>7</v>
      </c>
      <c r="AF58" s="46">
        <v>34</v>
      </c>
      <c r="AG58" s="46">
        <v>33</v>
      </c>
      <c r="AH58" s="46">
        <v>67</v>
      </c>
      <c r="AN58" s="40" t="s">
        <v>61</v>
      </c>
      <c r="AO58" s="46">
        <v>28</v>
      </c>
      <c r="AP58" s="46">
        <v>27</v>
      </c>
      <c r="AQ58" s="46">
        <v>7</v>
      </c>
      <c r="AR58" s="46">
        <v>7</v>
      </c>
      <c r="AS58" s="46">
        <v>35</v>
      </c>
      <c r="AT58" s="46">
        <v>34</v>
      </c>
      <c r="AU58" s="46">
        <v>69</v>
      </c>
      <c r="BA58" s="40" t="s">
        <v>61</v>
      </c>
      <c r="BB58" s="46">
        <v>2</v>
      </c>
      <c r="BC58" s="46">
        <v>4</v>
      </c>
      <c r="BD58" s="46">
        <v>0</v>
      </c>
      <c r="BE58" s="46">
        <v>0</v>
      </c>
      <c r="BF58" s="46">
        <v>2</v>
      </c>
      <c r="BG58" s="46">
        <v>4</v>
      </c>
      <c r="BH58" s="46">
        <v>6</v>
      </c>
    </row>
    <row r="59" spans="1:60" ht="32">
      <c r="A59" s="40" t="s">
        <v>62</v>
      </c>
      <c r="B59" s="46">
        <v>37</v>
      </c>
      <c r="C59" s="46">
        <v>33</v>
      </c>
      <c r="D59" s="46">
        <v>10</v>
      </c>
      <c r="E59" s="46">
        <v>10</v>
      </c>
      <c r="F59" s="46">
        <v>47</v>
      </c>
      <c r="G59" s="46">
        <v>43</v>
      </c>
      <c r="H59" s="46">
        <v>90</v>
      </c>
      <c r="N59" s="40" t="s">
        <v>62</v>
      </c>
      <c r="O59" s="46">
        <v>37</v>
      </c>
      <c r="P59" s="46">
        <v>33</v>
      </c>
      <c r="Q59" s="46">
        <v>9</v>
      </c>
      <c r="R59" s="46">
        <v>9</v>
      </c>
      <c r="S59" s="46">
        <v>46</v>
      </c>
      <c r="T59" s="46">
        <v>42</v>
      </c>
      <c r="U59" s="46">
        <v>88</v>
      </c>
      <c r="AA59" s="40" t="s">
        <v>62</v>
      </c>
      <c r="AB59" s="46">
        <v>30</v>
      </c>
      <c r="AC59" s="46">
        <v>27</v>
      </c>
      <c r="AD59" s="46">
        <v>8</v>
      </c>
      <c r="AE59" s="46">
        <v>8</v>
      </c>
      <c r="AF59" s="46">
        <v>38</v>
      </c>
      <c r="AG59" s="46">
        <v>35</v>
      </c>
      <c r="AH59" s="46">
        <v>73</v>
      </c>
      <c r="AN59" s="40" t="s">
        <v>62</v>
      </c>
      <c r="AO59" s="46">
        <v>31</v>
      </c>
      <c r="AP59" s="46">
        <v>27</v>
      </c>
      <c r="AQ59" s="46">
        <v>8</v>
      </c>
      <c r="AR59" s="46">
        <v>8</v>
      </c>
      <c r="AS59" s="46">
        <v>39</v>
      </c>
      <c r="AT59" s="46">
        <v>35</v>
      </c>
      <c r="AU59" s="46">
        <v>74</v>
      </c>
      <c r="BA59" s="40" t="s">
        <v>62</v>
      </c>
      <c r="BB59" s="46">
        <v>4</v>
      </c>
      <c r="BC59" s="46">
        <v>4</v>
      </c>
      <c r="BD59" s="46">
        <v>0</v>
      </c>
      <c r="BE59" s="46">
        <v>0</v>
      </c>
      <c r="BF59" s="46">
        <v>4</v>
      </c>
      <c r="BG59" s="46">
        <v>4</v>
      </c>
      <c r="BH59" s="46">
        <v>8</v>
      </c>
    </row>
    <row r="60" spans="1:60" ht="32">
      <c r="A60" s="40" t="s">
        <v>63</v>
      </c>
      <c r="B60" s="46">
        <v>38</v>
      </c>
      <c r="C60" s="46">
        <v>32</v>
      </c>
      <c r="D60" s="46">
        <v>10</v>
      </c>
      <c r="E60" s="46">
        <v>10</v>
      </c>
      <c r="F60" s="46">
        <v>48</v>
      </c>
      <c r="G60" s="46">
        <v>42</v>
      </c>
      <c r="H60" s="46">
        <v>90</v>
      </c>
      <c r="N60" s="40" t="s">
        <v>63</v>
      </c>
      <c r="O60" s="46">
        <v>38</v>
      </c>
      <c r="P60" s="46">
        <v>31</v>
      </c>
      <c r="Q60" s="46">
        <v>9</v>
      </c>
      <c r="R60" s="46">
        <v>9</v>
      </c>
      <c r="S60" s="46">
        <v>47</v>
      </c>
      <c r="T60" s="46">
        <v>40</v>
      </c>
      <c r="U60" s="46">
        <v>87</v>
      </c>
      <c r="AA60" s="40" t="s">
        <v>63</v>
      </c>
      <c r="AB60" s="46">
        <v>31</v>
      </c>
      <c r="AC60" s="46">
        <v>26</v>
      </c>
      <c r="AD60" s="46">
        <v>8</v>
      </c>
      <c r="AE60" s="46">
        <v>8</v>
      </c>
      <c r="AF60" s="46">
        <v>39</v>
      </c>
      <c r="AG60" s="46">
        <v>34</v>
      </c>
      <c r="AH60" s="46">
        <v>73</v>
      </c>
      <c r="AN60" s="40" t="s">
        <v>63</v>
      </c>
      <c r="AO60" s="46">
        <v>31</v>
      </c>
      <c r="AP60" s="46">
        <v>26</v>
      </c>
      <c r="AQ60" s="46">
        <v>8</v>
      </c>
      <c r="AR60" s="46">
        <v>8</v>
      </c>
      <c r="AS60" s="46">
        <v>39</v>
      </c>
      <c r="AT60" s="46">
        <v>34</v>
      </c>
      <c r="AU60" s="46">
        <v>73</v>
      </c>
      <c r="BA60" s="40" t="s">
        <v>63</v>
      </c>
      <c r="BB60" s="46">
        <v>4</v>
      </c>
      <c r="BC60" s="46">
        <v>4</v>
      </c>
      <c r="BD60" s="46">
        <v>2</v>
      </c>
      <c r="BE60" s="46">
        <v>2</v>
      </c>
      <c r="BF60" s="46">
        <v>6</v>
      </c>
      <c r="BG60" s="46">
        <v>6</v>
      </c>
      <c r="BH60" s="46">
        <v>12</v>
      </c>
    </row>
    <row r="61" spans="1:60" ht="32">
      <c r="A61" s="40" t="s">
        <v>64</v>
      </c>
      <c r="B61" s="46">
        <v>42</v>
      </c>
      <c r="C61" s="46">
        <v>33</v>
      </c>
      <c r="D61" s="46">
        <v>10</v>
      </c>
      <c r="E61" s="46">
        <v>10</v>
      </c>
      <c r="F61" s="46">
        <v>52</v>
      </c>
      <c r="G61" s="46">
        <v>43</v>
      </c>
      <c r="H61" s="46">
        <v>95</v>
      </c>
      <c r="N61" s="40" t="s">
        <v>64</v>
      </c>
      <c r="O61" s="46">
        <v>43</v>
      </c>
      <c r="P61" s="46">
        <v>33</v>
      </c>
      <c r="Q61" s="46">
        <v>11</v>
      </c>
      <c r="R61" s="46">
        <v>11</v>
      </c>
      <c r="S61" s="46">
        <v>54</v>
      </c>
      <c r="T61" s="46">
        <v>44</v>
      </c>
      <c r="U61" s="46">
        <v>98</v>
      </c>
      <c r="AA61" s="40" t="s">
        <v>64</v>
      </c>
      <c r="AB61" s="46">
        <v>35</v>
      </c>
      <c r="AC61" s="46">
        <v>27</v>
      </c>
      <c r="AD61" s="46">
        <v>9</v>
      </c>
      <c r="AE61" s="46">
        <v>9</v>
      </c>
      <c r="AF61" s="46">
        <v>44</v>
      </c>
      <c r="AG61" s="46">
        <v>36</v>
      </c>
      <c r="AH61" s="46">
        <v>80</v>
      </c>
      <c r="AN61" s="40" t="s">
        <v>64</v>
      </c>
      <c r="AO61" s="46">
        <v>35</v>
      </c>
      <c r="AP61" s="46">
        <v>28</v>
      </c>
      <c r="AQ61" s="46">
        <v>9</v>
      </c>
      <c r="AR61" s="46">
        <v>9</v>
      </c>
      <c r="AS61" s="46">
        <v>44</v>
      </c>
      <c r="AT61" s="46">
        <v>37</v>
      </c>
      <c r="AU61" s="46">
        <v>81</v>
      </c>
      <c r="BA61" s="40" t="s">
        <v>64</v>
      </c>
      <c r="BB61" s="46">
        <v>4</v>
      </c>
      <c r="BC61" s="46">
        <v>4</v>
      </c>
      <c r="BD61" s="46">
        <v>2</v>
      </c>
      <c r="BE61" s="46">
        <v>2</v>
      </c>
      <c r="BF61" s="46">
        <v>6</v>
      </c>
      <c r="BG61" s="46">
        <v>6</v>
      </c>
      <c r="BH61" s="46">
        <v>12</v>
      </c>
    </row>
    <row r="62" spans="1:60" ht="32">
      <c r="A62" s="40" t="s">
        <v>65</v>
      </c>
      <c r="B62" s="46">
        <v>50</v>
      </c>
      <c r="C62" s="46">
        <v>32</v>
      </c>
      <c r="D62" s="46">
        <v>11</v>
      </c>
      <c r="E62" s="46">
        <v>11</v>
      </c>
      <c r="F62" s="46">
        <v>61</v>
      </c>
      <c r="G62" s="46">
        <v>43</v>
      </c>
      <c r="H62" s="46">
        <v>104</v>
      </c>
      <c r="N62" s="40" t="s">
        <v>65</v>
      </c>
      <c r="O62" s="46">
        <v>49</v>
      </c>
      <c r="P62" s="46">
        <v>31</v>
      </c>
      <c r="Q62" s="46">
        <v>11</v>
      </c>
      <c r="R62" s="46">
        <v>11</v>
      </c>
      <c r="S62" s="46">
        <v>60</v>
      </c>
      <c r="T62" s="46">
        <v>42</v>
      </c>
      <c r="U62" s="46">
        <v>102</v>
      </c>
      <c r="AA62" s="40" t="s">
        <v>65</v>
      </c>
      <c r="AB62" s="46">
        <v>40</v>
      </c>
      <c r="AC62" s="46">
        <v>26</v>
      </c>
      <c r="AD62" s="46">
        <v>9</v>
      </c>
      <c r="AE62" s="46">
        <v>9</v>
      </c>
      <c r="AF62" s="46">
        <v>49</v>
      </c>
      <c r="AG62" s="46">
        <v>35</v>
      </c>
      <c r="AH62" s="46">
        <v>84</v>
      </c>
      <c r="AN62" s="40" t="s">
        <v>65</v>
      </c>
      <c r="AO62" s="46">
        <v>41</v>
      </c>
      <c r="AP62" s="46">
        <v>27</v>
      </c>
      <c r="AQ62" s="46">
        <v>9</v>
      </c>
      <c r="AR62" s="46">
        <v>9</v>
      </c>
      <c r="AS62" s="46">
        <v>50</v>
      </c>
      <c r="AT62" s="46">
        <v>36</v>
      </c>
      <c r="AU62" s="46">
        <v>86</v>
      </c>
      <c r="BA62" s="40" t="s">
        <v>65</v>
      </c>
      <c r="BB62" s="46">
        <v>4</v>
      </c>
      <c r="BC62" s="46">
        <v>4</v>
      </c>
      <c r="BD62" s="46">
        <v>2</v>
      </c>
      <c r="BE62" s="46">
        <v>2</v>
      </c>
      <c r="BF62" s="46">
        <v>6</v>
      </c>
      <c r="BG62" s="46">
        <v>6</v>
      </c>
      <c r="BH62" s="46">
        <v>12</v>
      </c>
    </row>
    <row r="63" spans="1:60" ht="32">
      <c r="A63" s="40" t="s">
        <v>66</v>
      </c>
      <c r="B63" s="46">
        <v>98</v>
      </c>
      <c r="C63" s="46">
        <v>23</v>
      </c>
      <c r="D63" s="46">
        <v>18</v>
      </c>
      <c r="E63" s="46">
        <v>18</v>
      </c>
      <c r="F63" s="46">
        <v>116</v>
      </c>
      <c r="G63" s="46">
        <v>41</v>
      </c>
      <c r="H63" s="46">
        <v>157</v>
      </c>
      <c r="N63" s="40" t="s">
        <v>66</v>
      </c>
      <c r="O63" s="46">
        <v>97</v>
      </c>
      <c r="P63" s="46">
        <v>23</v>
      </c>
      <c r="Q63" s="46">
        <v>18</v>
      </c>
      <c r="R63" s="46">
        <v>18</v>
      </c>
      <c r="S63" s="46">
        <v>115</v>
      </c>
      <c r="T63" s="46">
        <v>41</v>
      </c>
      <c r="U63" s="46">
        <v>156</v>
      </c>
      <c r="AA63" s="40" t="s">
        <v>66</v>
      </c>
      <c r="AB63" s="46">
        <v>80</v>
      </c>
      <c r="AC63" s="46">
        <v>19</v>
      </c>
      <c r="AD63" s="46">
        <v>14</v>
      </c>
      <c r="AE63" s="46">
        <v>14</v>
      </c>
      <c r="AF63" s="46">
        <v>94</v>
      </c>
      <c r="AG63" s="46">
        <v>33</v>
      </c>
      <c r="AH63" s="46">
        <v>127</v>
      </c>
      <c r="AN63" s="40" t="s">
        <v>66</v>
      </c>
      <c r="AO63" s="46">
        <v>81</v>
      </c>
      <c r="AP63" s="46">
        <v>19</v>
      </c>
      <c r="AQ63" s="46">
        <v>15</v>
      </c>
      <c r="AR63" s="46">
        <v>15</v>
      </c>
      <c r="AS63" s="46">
        <v>96</v>
      </c>
      <c r="AT63" s="46">
        <v>34</v>
      </c>
      <c r="AU63" s="46">
        <v>130</v>
      </c>
      <c r="BA63" s="40" t="s">
        <v>66</v>
      </c>
      <c r="BB63" s="46">
        <v>12</v>
      </c>
      <c r="BC63" s="46">
        <v>2</v>
      </c>
      <c r="BD63" s="46">
        <v>2</v>
      </c>
      <c r="BE63" s="46">
        <v>2</v>
      </c>
      <c r="BF63" s="46">
        <v>14</v>
      </c>
      <c r="BG63" s="46">
        <v>4</v>
      </c>
      <c r="BH63" s="46">
        <v>18</v>
      </c>
    </row>
    <row r="64" spans="1:60" ht="32">
      <c r="A64" s="40" t="s">
        <v>67</v>
      </c>
      <c r="B64" s="46">
        <v>112</v>
      </c>
      <c r="C64" s="46">
        <v>18</v>
      </c>
      <c r="D64" s="46">
        <v>19</v>
      </c>
      <c r="E64" s="46">
        <v>19</v>
      </c>
      <c r="F64" s="46">
        <v>131</v>
      </c>
      <c r="G64" s="46">
        <v>37</v>
      </c>
      <c r="H64" s="46">
        <v>168</v>
      </c>
      <c r="N64" s="40" t="s">
        <v>67</v>
      </c>
      <c r="O64" s="46">
        <v>111</v>
      </c>
      <c r="P64" s="46">
        <v>18</v>
      </c>
      <c r="Q64" s="46">
        <v>19</v>
      </c>
      <c r="R64" s="46">
        <v>19</v>
      </c>
      <c r="S64" s="46">
        <v>130</v>
      </c>
      <c r="T64" s="46">
        <v>37</v>
      </c>
      <c r="U64" s="46">
        <v>167</v>
      </c>
      <c r="AA64" s="40" t="s">
        <v>67</v>
      </c>
      <c r="AB64" s="46">
        <v>91</v>
      </c>
      <c r="AC64" s="46">
        <v>15</v>
      </c>
      <c r="AD64" s="46">
        <v>15</v>
      </c>
      <c r="AE64" s="46">
        <v>15</v>
      </c>
      <c r="AF64" s="46">
        <v>106</v>
      </c>
      <c r="AG64" s="46">
        <v>30</v>
      </c>
      <c r="AH64" s="46">
        <v>136</v>
      </c>
      <c r="AN64" s="40" t="s">
        <v>67</v>
      </c>
      <c r="AO64" s="46">
        <v>93</v>
      </c>
      <c r="AP64" s="46">
        <v>15</v>
      </c>
      <c r="AQ64" s="46">
        <v>16</v>
      </c>
      <c r="AR64" s="46">
        <v>16</v>
      </c>
      <c r="AS64" s="46">
        <v>109</v>
      </c>
      <c r="AT64" s="46">
        <v>31</v>
      </c>
      <c r="AU64" s="46">
        <v>140</v>
      </c>
      <c r="BA64" s="40" t="s">
        <v>67</v>
      </c>
      <c r="BB64" s="46">
        <v>12</v>
      </c>
      <c r="BC64" s="46">
        <v>2</v>
      </c>
      <c r="BD64" s="46">
        <v>2</v>
      </c>
      <c r="BE64" s="46">
        <v>2</v>
      </c>
      <c r="BF64" s="46">
        <v>14</v>
      </c>
      <c r="BG64" s="46">
        <v>4</v>
      </c>
      <c r="BH64" s="46">
        <v>18</v>
      </c>
    </row>
    <row r="65" spans="1:60" ht="32">
      <c r="A65" s="40" t="s">
        <v>68</v>
      </c>
      <c r="B65" s="46">
        <v>83</v>
      </c>
      <c r="C65" s="46">
        <v>12</v>
      </c>
      <c r="D65" s="46">
        <v>13</v>
      </c>
      <c r="E65" s="46">
        <v>13</v>
      </c>
      <c r="F65" s="46">
        <v>96</v>
      </c>
      <c r="G65" s="46">
        <v>25</v>
      </c>
      <c r="H65" s="46">
        <v>121</v>
      </c>
      <c r="N65" s="40" t="s">
        <v>68</v>
      </c>
      <c r="O65" s="46">
        <v>82</v>
      </c>
      <c r="P65" s="46">
        <v>12</v>
      </c>
      <c r="Q65" s="46">
        <v>13</v>
      </c>
      <c r="R65" s="46">
        <v>13</v>
      </c>
      <c r="S65" s="46">
        <v>95</v>
      </c>
      <c r="T65" s="46">
        <v>25</v>
      </c>
      <c r="U65" s="46">
        <v>120</v>
      </c>
      <c r="AA65" s="40" t="s">
        <v>68</v>
      </c>
      <c r="AB65" s="46">
        <v>67</v>
      </c>
      <c r="AC65" s="46">
        <v>10</v>
      </c>
      <c r="AD65" s="46">
        <v>11</v>
      </c>
      <c r="AE65" s="46">
        <v>11</v>
      </c>
      <c r="AF65" s="46">
        <v>78</v>
      </c>
      <c r="AG65" s="46">
        <v>21</v>
      </c>
      <c r="AH65" s="46">
        <v>99</v>
      </c>
      <c r="AN65" s="40" t="s">
        <v>68</v>
      </c>
      <c r="AO65" s="46">
        <v>69</v>
      </c>
      <c r="AP65" s="46">
        <v>10</v>
      </c>
      <c r="AQ65" s="46">
        <v>11</v>
      </c>
      <c r="AR65" s="46">
        <v>11</v>
      </c>
      <c r="AS65" s="46">
        <v>80</v>
      </c>
      <c r="AT65" s="46">
        <v>21</v>
      </c>
      <c r="AU65" s="46">
        <v>101</v>
      </c>
      <c r="BA65" s="40" t="s">
        <v>68</v>
      </c>
      <c r="BB65" s="46">
        <v>10</v>
      </c>
      <c r="BC65" s="46">
        <v>2</v>
      </c>
      <c r="BD65" s="46">
        <v>2</v>
      </c>
      <c r="BE65" s="46">
        <v>2</v>
      </c>
      <c r="BF65" s="46">
        <v>12</v>
      </c>
      <c r="BG65" s="46">
        <v>4</v>
      </c>
      <c r="BH65" s="46">
        <v>16</v>
      </c>
    </row>
    <row r="66" spans="1:60">
      <c r="A66" s="40" t="s">
        <v>162</v>
      </c>
      <c r="B66" s="46">
        <v>41</v>
      </c>
      <c r="C66" s="46">
        <v>5</v>
      </c>
      <c r="D66" s="46">
        <v>6</v>
      </c>
      <c r="E66" s="46">
        <v>6</v>
      </c>
      <c r="F66" s="46">
        <v>47</v>
      </c>
      <c r="G66" s="46">
        <v>11</v>
      </c>
      <c r="H66" s="46">
        <v>58</v>
      </c>
      <c r="N66" s="40" t="s">
        <v>162</v>
      </c>
      <c r="O66" s="46">
        <v>41</v>
      </c>
      <c r="P66" s="46">
        <v>5</v>
      </c>
      <c r="Q66" s="46">
        <v>6</v>
      </c>
      <c r="R66" s="46">
        <v>6</v>
      </c>
      <c r="S66" s="46">
        <v>47</v>
      </c>
      <c r="T66" s="46">
        <v>11</v>
      </c>
      <c r="U66" s="46">
        <v>58</v>
      </c>
      <c r="AA66" s="40" t="s">
        <v>162</v>
      </c>
      <c r="AB66" s="46">
        <v>34</v>
      </c>
      <c r="AC66" s="46">
        <v>4</v>
      </c>
      <c r="AD66" s="46">
        <v>5</v>
      </c>
      <c r="AE66" s="46">
        <v>5</v>
      </c>
      <c r="AF66" s="46">
        <v>39</v>
      </c>
      <c r="AG66" s="46">
        <v>9</v>
      </c>
      <c r="AH66" s="46">
        <v>48</v>
      </c>
      <c r="AN66" s="40" t="s">
        <v>162</v>
      </c>
      <c r="AO66" s="46">
        <v>34</v>
      </c>
      <c r="AP66" s="46">
        <v>4</v>
      </c>
      <c r="AQ66" s="46">
        <v>5</v>
      </c>
      <c r="AR66" s="46">
        <v>5</v>
      </c>
      <c r="AS66" s="46">
        <v>39</v>
      </c>
      <c r="AT66" s="46">
        <v>9</v>
      </c>
      <c r="AU66" s="46">
        <v>48</v>
      </c>
      <c r="BA66" s="40" t="s">
        <v>162</v>
      </c>
      <c r="BB66" s="46">
        <v>4</v>
      </c>
      <c r="BC66" s="46">
        <v>0</v>
      </c>
      <c r="BD66" s="46">
        <v>2</v>
      </c>
      <c r="BE66" s="46">
        <v>2</v>
      </c>
      <c r="BF66" s="46">
        <v>6</v>
      </c>
      <c r="BG66" s="46">
        <v>2</v>
      </c>
      <c r="BH66" s="46">
        <v>8</v>
      </c>
    </row>
    <row r="67" spans="1:60" ht="17.5" thickBot="1">
      <c r="A67" s="42" t="s">
        <v>160</v>
      </c>
      <c r="B67" s="48">
        <v>629</v>
      </c>
      <c r="C67" s="48">
        <v>629</v>
      </c>
      <c r="D67" s="48">
        <v>178</v>
      </c>
      <c r="E67" s="48">
        <v>178</v>
      </c>
      <c r="F67" s="48">
        <v>807</v>
      </c>
      <c r="G67" s="48">
        <v>807</v>
      </c>
      <c r="H67" s="51">
        <v>1614</v>
      </c>
      <c r="N67" s="42" t="s">
        <v>160</v>
      </c>
      <c r="O67" s="48">
        <v>624</v>
      </c>
      <c r="P67" s="48">
        <v>624</v>
      </c>
      <c r="Q67" s="48">
        <v>177</v>
      </c>
      <c r="R67" s="48">
        <v>177</v>
      </c>
      <c r="S67" s="48">
        <v>801</v>
      </c>
      <c r="T67" s="48">
        <v>801</v>
      </c>
      <c r="U67" s="51">
        <v>1602</v>
      </c>
      <c r="AA67" s="42" t="s">
        <v>160</v>
      </c>
      <c r="AB67" s="48">
        <v>512</v>
      </c>
      <c r="AC67" s="48">
        <v>512</v>
      </c>
      <c r="AD67" s="48">
        <v>144</v>
      </c>
      <c r="AE67" s="48">
        <v>144</v>
      </c>
      <c r="AF67" s="48">
        <v>656</v>
      </c>
      <c r="AG67" s="48">
        <v>656</v>
      </c>
      <c r="AH67" s="51">
        <v>1312</v>
      </c>
      <c r="AN67" s="42" t="s">
        <v>160</v>
      </c>
      <c r="AO67" s="48">
        <v>521</v>
      </c>
      <c r="AP67" s="48">
        <v>521</v>
      </c>
      <c r="AQ67" s="48">
        <v>149</v>
      </c>
      <c r="AR67" s="48">
        <v>149</v>
      </c>
      <c r="AS67" s="48">
        <v>670</v>
      </c>
      <c r="AT67" s="48">
        <v>670</v>
      </c>
      <c r="AU67" s="51">
        <v>1340</v>
      </c>
      <c r="BA67" s="42" t="s">
        <v>160</v>
      </c>
      <c r="BB67" s="48">
        <v>64</v>
      </c>
      <c r="BC67" s="48">
        <v>64</v>
      </c>
      <c r="BD67" s="48">
        <v>18</v>
      </c>
      <c r="BE67" s="48">
        <v>18</v>
      </c>
      <c r="BF67" s="48">
        <v>82</v>
      </c>
      <c r="BG67" s="48">
        <v>82</v>
      </c>
      <c r="BH67" s="48">
        <v>164</v>
      </c>
    </row>
    <row r="68" spans="1:60" ht="17.5" thickTop="1"/>
    <row r="69" spans="1:60">
      <c r="B69">
        <f>B45/B67</f>
        <v>1.5866454689984102</v>
      </c>
      <c r="C69">
        <f>C45/C67</f>
        <v>1.5866454689984102</v>
      </c>
      <c r="D69">
        <f>D45/D67</f>
        <v>1.247191011235955</v>
      </c>
      <c r="E69">
        <f>E45/E67</f>
        <v>1.247191011235955</v>
      </c>
      <c r="O69">
        <f>O45/O67</f>
        <v>1.5897435897435896</v>
      </c>
      <c r="P69">
        <f>P45/P67</f>
        <v>1.5897435897435896</v>
      </c>
      <c r="Q69">
        <f>Q45/Q67</f>
        <v>1.2485875706214689</v>
      </c>
      <c r="R69">
        <f>R45/R67</f>
        <v>1.2485875706214689</v>
      </c>
      <c r="AB69">
        <f t="shared" ref="AB69:AE69" si="0">AB45/AB67</f>
        <v>1.587890625</v>
      </c>
      <c r="AC69">
        <f t="shared" si="0"/>
        <v>1.587890625</v>
      </c>
      <c r="AD69">
        <f t="shared" si="0"/>
        <v>1.2569444444444444</v>
      </c>
      <c r="AE69">
        <f t="shared" si="0"/>
        <v>1.2569444444444444</v>
      </c>
      <c r="AO69">
        <f t="shared" ref="AO69:AR69" si="1">AO45/AO67</f>
        <v>1.5911708253358925</v>
      </c>
      <c r="AP69">
        <f t="shared" si="1"/>
        <v>1.5911708253358925</v>
      </c>
      <c r="AQ69">
        <f t="shared" si="1"/>
        <v>1.2416107382550337</v>
      </c>
      <c r="AR69">
        <f t="shared" si="1"/>
        <v>1.2416107382550337</v>
      </c>
      <c r="BB69">
        <f t="shared" ref="BB69:BE69" si="2">BB45/BB67</f>
        <v>1.625</v>
      </c>
      <c r="BC69">
        <f t="shared" si="2"/>
        <v>1.625</v>
      </c>
      <c r="BD69">
        <f t="shared" si="2"/>
        <v>1.2222222222222223</v>
      </c>
      <c r="BE69">
        <f t="shared" si="2"/>
        <v>1.2222222222222223</v>
      </c>
    </row>
  </sheetData>
  <mergeCells count="80">
    <mergeCell ref="A4:A7"/>
    <mergeCell ref="B4:I4"/>
    <mergeCell ref="B5:G5"/>
    <mergeCell ref="H5:I6"/>
    <mergeCell ref="B6:C6"/>
    <mergeCell ref="D6:E6"/>
    <mergeCell ref="F6:G6"/>
    <mergeCell ref="L4:L7"/>
    <mergeCell ref="M4:T4"/>
    <mergeCell ref="M5:R5"/>
    <mergeCell ref="S5:T6"/>
    <mergeCell ref="M6:N6"/>
    <mergeCell ref="O6:P6"/>
    <mergeCell ref="Q6:R6"/>
    <mergeCell ref="AB12:AB13"/>
    <mergeCell ref="A26:A28"/>
    <mergeCell ref="B26:L26"/>
    <mergeCell ref="B27:C27"/>
    <mergeCell ref="D27:E27"/>
    <mergeCell ref="F27:G27"/>
    <mergeCell ref="H27:I27"/>
    <mergeCell ref="J27:L27"/>
    <mergeCell ref="AB4:AC5"/>
    <mergeCell ref="AD4:AE4"/>
    <mergeCell ref="AB6:AB7"/>
    <mergeCell ref="AB8:AB9"/>
    <mergeCell ref="AB10:AB11"/>
    <mergeCell ref="A48:A50"/>
    <mergeCell ref="B48:H48"/>
    <mergeCell ref="B49:C49"/>
    <mergeCell ref="D49:E49"/>
    <mergeCell ref="F49:H49"/>
    <mergeCell ref="N48:N50"/>
    <mergeCell ref="AB14:AB15"/>
    <mergeCell ref="AB16:AB17"/>
    <mergeCell ref="AB18:AB19"/>
    <mergeCell ref="AB20:AB21"/>
    <mergeCell ref="N26:N28"/>
    <mergeCell ref="O26:Y26"/>
    <mergeCell ref="O27:P27"/>
    <mergeCell ref="Q27:R27"/>
    <mergeCell ref="S27:T27"/>
    <mergeCell ref="U27:V27"/>
    <mergeCell ref="W27:Y27"/>
    <mergeCell ref="AA26:AA28"/>
    <mergeCell ref="AB26:AL26"/>
    <mergeCell ref="AB27:AC27"/>
    <mergeCell ref="AD27:AE27"/>
    <mergeCell ref="AF27:AG27"/>
    <mergeCell ref="AH27:AI27"/>
    <mergeCell ref="AJ27:AL27"/>
    <mergeCell ref="AN26:AN28"/>
    <mergeCell ref="AO26:AY26"/>
    <mergeCell ref="AO27:AP27"/>
    <mergeCell ref="AQ27:AR27"/>
    <mergeCell ref="AS27:AT27"/>
    <mergeCell ref="AU27:AV27"/>
    <mergeCell ref="AW27:AY27"/>
    <mergeCell ref="BA26:BA28"/>
    <mergeCell ref="BB26:BL26"/>
    <mergeCell ref="BB27:BC27"/>
    <mergeCell ref="BD27:BE27"/>
    <mergeCell ref="BF27:BG27"/>
    <mergeCell ref="BH27:BI27"/>
    <mergeCell ref="BJ27:BL27"/>
    <mergeCell ref="BB48:BH48"/>
    <mergeCell ref="BB49:BC49"/>
    <mergeCell ref="BD49:BE49"/>
    <mergeCell ref="BF49:BH49"/>
    <mergeCell ref="AA48:AA50"/>
    <mergeCell ref="AB48:AH48"/>
    <mergeCell ref="AB49:AC49"/>
    <mergeCell ref="AD49:AE49"/>
    <mergeCell ref="AF49:AH49"/>
    <mergeCell ref="AN48:AN50"/>
    <mergeCell ref="AO48:AU48"/>
    <mergeCell ref="AO49:AP49"/>
    <mergeCell ref="AQ49:AR49"/>
    <mergeCell ref="AS49:AU49"/>
    <mergeCell ref="BA48:BA50"/>
  </mergeCells>
  <phoneticPr fontId="2" type="noConversion"/>
  <pageMargins left="0.7" right="0.7" top="0.75" bottom="0.75" header="0.3" footer="0.3"/>
</worksheet>
</file>

<file path=xl/worksheets/sheet8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N108"/>
  <sheetViews>
    <sheetView zoomScale="70" zoomScaleNormal="70" workbookViewId="0">
      <selection activeCell="K22" sqref="K22"/>
    </sheetView>
  </sheetViews>
  <sheetFormatPr defaultRowHeight="17"/>
  <cols>
    <col min="11" max="11" width="41.5" bestFit="1" customWidth="1"/>
    <col min="15" max="15" width="11" bestFit="1" customWidth="1"/>
    <col min="16" max="16" width="10" bestFit="1" customWidth="1"/>
    <col min="17" max="17" width="9.08203125" bestFit="1" customWidth="1"/>
    <col min="22" max="22" width="11.5" bestFit="1" customWidth="1"/>
    <col min="25" max="25" width="20.58203125" bestFit="1" customWidth="1"/>
    <col min="31" max="31" width="11.75" bestFit="1" customWidth="1"/>
    <col min="32" max="32" width="11" bestFit="1" customWidth="1"/>
  </cols>
  <sheetData>
    <row r="1" spans="1:40">
      <c r="A1" t="s">
        <v>151</v>
      </c>
    </row>
    <row r="2" spans="1:40">
      <c r="A2" s="32" t="s">
        <v>149</v>
      </c>
      <c r="B2" s="32" t="s">
        <v>150</v>
      </c>
    </row>
    <row r="4" spans="1:40">
      <c r="A4" t="s">
        <v>0</v>
      </c>
      <c r="K4" t="s">
        <v>276</v>
      </c>
      <c r="M4" t="s">
        <v>257</v>
      </c>
      <c r="S4" t="s">
        <v>253</v>
      </c>
    </row>
    <row r="5" spans="1:40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</row>
    <row r="6" spans="1:40" ht="17.25" customHeight="1" thickTop="1" thickBot="1">
      <c r="A6" s="576" t="s">
        <v>27</v>
      </c>
      <c r="B6" s="577"/>
      <c r="C6" s="1" t="s">
        <v>2</v>
      </c>
      <c r="D6" s="619" t="s">
        <v>5</v>
      </c>
      <c r="E6" s="577"/>
      <c r="F6" s="619" t="s">
        <v>7</v>
      </c>
      <c r="G6" s="620"/>
      <c r="H6" s="621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622" t="s">
        <v>251</v>
      </c>
      <c r="T6" s="623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344</v>
      </c>
      <c r="AG6" t="s">
        <v>345</v>
      </c>
      <c r="AL6" s="76" t="s">
        <v>346</v>
      </c>
      <c r="AN6" t="s">
        <v>245</v>
      </c>
    </row>
    <row r="7" spans="1:40" ht="18" thickTop="1" thickBot="1">
      <c r="A7" s="613"/>
      <c r="B7" s="614"/>
      <c r="C7" s="2" t="s">
        <v>3</v>
      </c>
      <c r="D7" s="624" t="s">
        <v>6</v>
      </c>
      <c r="E7" s="625"/>
      <c r="F7" s="624" t="s">
        <v>8</v>
      </c>
      <c r="G7" s="626"/>
      <c r="H7" s="627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628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6" t="s">
        <v>347</v>
      </c>
      <c r="AG7" s="577"/>
      <c r="AH7" s="1" t="s">
        <v>340</v>
      </c>
      <c r="AI7" s="615" t="s">
        <v>348</v>
      </c>
      <c r="AJ7" s="616"/>
      <c r="AK7" s="616"/>
      <c r="AL7" s="616"/>
      <c r="AM7" s="616"/>
      <c r="AN7" s="617"/>
    </row>
    <row r="8" spans="1:40" ht="18" thickTop="1" thickBot="1">
      <c r="A8" s="578"/>
      <c r="B8" s="579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29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613"/>
      <c r="AG8" s="614"/>
      <c r="AH8" s="2" t="s">
        <v>3</v>
      </c>
      <c r="AI8" s="608" t="s">
        <v>341</v>
      </c>
      <c r="AJ8" s="609"/>
      <c r="AK8" s="618"/>
      <c r="AL8" s="608" t="s">
        <v>342</v>
      </c>
      <c r="AM8" s="609"/>
      <c r="AN8" s="610"/>
    </row>
    <row r="9" spans="1:40" ht="18" thickTop="1" thickBot="1">
      <c r="A9" s="611" t="s">
        <v>12</v>
      </c>
      <c r="B9" s="612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29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8"/>
      <c r="AG9" s="579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</row>
    <row r="10" spans="1:40" ht="16.5" customHeight="1" thickTop="1">
      <c r="A10" s="598" t="s">
        <v>13</v>
      </c>
      <c r="B10" s="59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5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611" t="s">
        <v>349</v>
      </c>
      <c r="AG10" s="612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</row>
    <row r="11" spans="1:40">
      <c r="A11" s="598" t="s">
        <v>14</v>
      </c>
      <c r="B11" s="59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4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98" t="s">
        <v>136</v>
      </c>
      <c r="AG11" s="59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</row>
    <row r="12" spans="1:40">
      <c r="A12" s="598" t="s">
        <v>15</v>
      </c>
      <c r="B12" s="59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5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98" t="s">
        <v>137</v>
      </c>
      <c r="AG12" s="59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40">
      <c r="A13" s="598" t="s">
        <v>16</v>
      </c>
      <c r="B13" s="59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4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98" t="s">
        <v>350</v>
      </c>
      <c r="AG13" s="59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40">
      <c r="A14" s="598" t="s">
        <v>17</v>
      </c>
      <c r="B14" s="59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5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98" t="s">
        <v>351</v>
      </c>
      <c r="AG14" s="59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40" ht="16.5" customHeight="1">
      <c r="A15" s="12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4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98" t="s">
        <v>352</v>
      </c>
      <c r="AG15" s="59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40">
      <c r="A16" s="13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5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91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3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4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90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30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90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98" t="s">
        <v>24</v>
      </c>
      <c r="B19" s="59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98" t="s">
        <v>25</v>
      </c>
      <c r="B20" s="59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98" t="s">
        <v>353</v>
      </c>
      <c r="AG20" s="59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0" t="s">
        <v>26</v>
      </c>
      <c r="B21" s="601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>
        <f>F88</f>
        <v>0</v>
      </c>
      <c r="AF21" s="598" t="s">
        <v>354</v>
      </c>
      <c r="AG21" s="59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Z22" s="75"/>
      <c r="AA22" t="s">
        <v>235</v>
      </c>
      <c r="AF22" s="600" t="s">
        <v>26</v>
      </c>
      <c r="AG22" s="601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72</v>
      </c>
      <c r="Q24" s="76" t="s">
        <v>244</v>
      </c>
      <c r="S24" t="s">
        <v>245</v>
      </c>
    </row>
    <row r="25" spans="1:40" ht="17.5" thickTop="1">
      <c r="A25" s="576" t="s">
        <v>1</v>
      </c>
      <c r="B25" s="577"/>
      <c r="C25" s="1" t="s">
        <v>2</v>
      </c>
      <c r="D25" s="615" t="s">
        <v>29</v>
      </c>
      <c r="E25" s="616"/>
      <c r="F25" s="616"/>
      <c r="G25" s="616"/>
      <c r="H25" s="616"/>
      <c r="I25" s="617"/>
      <c r="K25" s="576" t="s">
        <v>27</v>
      </c>
      <c r="L25" s="577"/>
      <c r="M25" s="1" t="s">
        <v>2</v>
      </c>
      <c r="N25" s="615" t="s">
        <v>234</v>
      </c>
      <c r="O25" s="616"/>
      <c r="P25" s="616"/>
      <c r="Q25" s="616"/>
      <c r="R25" s="616"/>
      <c r="S25" s="617"/>
    </row>
    <row r="26" spans="1:40">
      <c r="A26" s="613"/>
      <c r="B26" s="614"/>
      <c r="C26" s="2" t="s">
        <v>3</v>
      </c>
      <c r="D26" s="608" t="s">
        <v>30</v>
      </c>
      <c r="E26" s="609"/>
      <c r="F26" s="618"/>
      <c r="G26" s="608" t="s">
        <v>31</v>
      </c>
      <c r="H26" s="609"/>
      <c r="I26" s="610"/>
      <c r="K26" s="613"/>
      <c r="L26" s="614"/>
      <c r="M26" s="2" t="s">
        <v>3</v>
      </c>
      <c r="N26" s="608" t="s">
        <v>30</v>
      </c>
      <c r="O26" s="609"/>
      <c r="P26" s="618"/>
      <c r="Q26" s="608" t="s">
        <v>31</v>
      </c>
      <c r="R26" s="609"/>
      <c r="S26" s="610"/>
      <c r="U26" t="s">
        <v>35</v>
      </c>
      <c r="W26" t="s">
        <v>38</v>
      </c>
      <c r="Y26" t="s">
        <v>147</v>
      </c>
      <c r="Z26" t="s">
        <v>148</v>
      </c>
      <c r="AA26" s="32" t="s">
        <v>74</v>
      </c>
    </row>
    <row r="27" spans="1:40" ht="17.5" thickBot="1">
      <c r="A27" s="578"/>
      <c r="B27" s="579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8"/>
      <c r="L27" s="579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  <c r="Y27" t="s">
        <v>12</v>
      </c>
      <c r="Z27" t="s">
        <v>73</v>
      </c>
      <c r="AA27" s="75">
        <v>11477.778199999999</v>
      </c>
    </row>
    <row r="28" spans="1:40" ht="17.5" thickTop="1">
      <c r="A28" s="611" t="s">
        <v>12</v>
      </c>
      <c r="B28" s="612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611" t="s">
        <v>135</v>
      </c>
      <c r="L28" s="612"/>
      <c r="M28" s="6">
        <v>53</v>
      </c>
      <c r="N28" s="6">
        <f>AI10/2</f>
        <v>170</v>
      </c>
      <c r="O28" s="6">
        <f t="shared" ref="O28:S28" si="0">AJ10/2</f>
        <v>53</v>
      </c>
      <c r="P28" s="6">
        <f t="shared" si="0"/>
        <v>223</v>
      </c>
      <c r="Q28" s="6">
        <f t="shared" si="0"/>
        <v>170</v>
      </c>
      <c r="R28" s="6">
        <f t="shared" si="0"/>
        <v>53</v>
      </c>
      <c r="S28" s="7">
        <f t="shared" si="0"/>
        <v>223</v>
      </c>
      <c r="V28">
        <v>2029</v>
      </c>
      <c r="W28">
        <v>2.5499999999999998</v>
      </c>
      <c r="Y28" t="s">
        <v>13</v>
      </c>
      <c r="Z28" t="s">
        <v>75</v>
      </c>
      <c r="AA28" s="75">
        <v>907.24059999999997</v>
      </c>
    </row>
    <row r="29" spans="1:40">
      <c r="A29" s="598" t="s">
        <v>13</v>
      </c>
      <c r="B29" s="59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98" t="s">
        <v>136</v>
      </c>
      <c r="L29" s="599"/>
      <c r="M29" s="8">
        <v>15360</v>
      </c>
      <c r="N29" s="9">
        <f t="shared" ref="N29:S29" si="1">AI11/2</f>
        <v>138</v>
      </c>
      <c r="O29" s="8">
        <f t="shared" si="1"/>
        <v>896</v>
      </c>
      <c r="P29" s="8">
        <f t="shared" si="1"/>
        <v>1034</v>
      </c>
      <c r="Q29" s="9">
        <f t="shared" si="1"/>
        <v>135</v>
      </c>
      <c r="R29" s="8">
        <f t="shared" si="1"/>
        <v>896</v>
      </c>
      <c r="S29" s="11">
        <f t="shared" si="1"/>
        <v>1031</v>
      </c>
      <c r="U29" t="s">
        <v>37</v>
      </c>
      <c r="V29">
        <v>2025</v>
      </c>
      <c r="W29">
        <v>2</v>
      </c>
      <c r="Y29" t="s">
        <v>13</v>
      </c>
      <c r="Z29" t="s">
        <v>77</v>
      </c>
      <c r="AA29" s="75">
        <v>3134.9627</v>
      </c>
    </row>
    <row r="30" spans="1:40">
      <c r="A30" s="598" t="s">
        <v>14</v>
      </c>
      <c r="B30" s="59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98" t="s">
        <v>137</v>
      </c>
      <c r="L30" s="599"/>
      <c r="M30" s="8">
        <v>88536</v>
      </c>
      <c r="N30" s="8">
        <f t="shared" ref="N30:S30" si="2">AI12/2</f>
        <v>1028</v>
      </c>
      <c r="O30" s="8">
        <f t="shared" si="2"/>
        <v>5751</v>
      </c>
      <c r="P30" s="8">
        <f t="shared" si="2"/>
        <v>6779</v>
      </c>
      <c r="Q30" s="8">
        <f t="shared" si="2"/>
        <v>1011</v>
      </c>
      <c r="R30" s="8">
        <f t="shared" si="2"/>
        <v>5749</v>
      </c>
      <c r="S30" s="11">
        <f t="shared" si="2"/>
        <v>6760</v>
      </c>
      <c r="V30">
        <v>2029</v>
      </c>
      <c r="W30">
        <v>2</v>
      </c>
      <c r="Y30" t="s">
        <v>138</v>
      </c>
      <c r="Z30" t="s">
        <v>78</v>
      </c>
      <c r="AA30" s="75">
        <v>5454.9395000000004</v>
      </c>
    </row>
    <row r="31" spans="1:40">
      <c r="A31" s="598" t="s">
        <v>15</v>
      </c>
      <c r="B31" s="59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98" t="s">
        <v>139</v>
      </c>
      <c r="L31" s="599"/>
      <c r="M31" s="8">
        <v>835928</v>
      </c>
      <c r="N31" s="8">
        <f t="shared" ref="N31:S31" si="3">AI13/2</f>
        <v>29007</v>
      </c>
      <c r="O31" s="8">
        <f t="shared" si="3"/>
        <v>13118</v>
      </c>
      <c r="P31" s="8">
        <f t="shared" si="3"/>
        <v>42125</v>
      </c>
      <c r="Q31" s="8">
        <f t="shared" si="3"/>
        <v>28532</v>
      </c>
      <c r="R31" s="8">
        <f t="shared" si="3"/>
        <v>13113</v>
      </c>
      <c r="S31" s="11">
        <f t="shared" si="3"/>
        <v>41645</v>
      </c>
      <c r="Y31" t="s">
        <v>14</v>
      </c>
      <c r="Z31" t="s">
        <v>80</v>
      </c>
      <c r="AA31" s="75">
        <v>7192.9411</v>
      </c>
    </row>
    <row r="32" spans="1:40">
      <c r="A32" s="598" t="s">
        <v>16</v>
      </c>
      <c r="B32" s="59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98" t="s">
        <v>43</v>
      </c>
      <c r="L32" s="599"/>
      <c r="M32" s="8">
        <v>114912</v>
      </c>
      <c r="N32" s="8">
        <f t="shared" ref="N32:S32" si="4">AI14/2</f>
        <v>3144</v>
      </c>
      <c r="O32" s="8">
        <f t="shared" si="4"/>
        <v>578</v>
      </c>
      <c r="P32" s="8">
        <f t="shared" si="4"/>
        <v>3722</v>
      </c>
      <c r="Q32" s="8">
        <f t="shared" si="4"/>
        <v>3092</v>
      </c>
      <c r="R32" s="8">
        <f t="shared" si="4"/>
        <v>578</v>
      </c>
      <c r="S32" s="11">
        <f t="shared" si="4"/>
        <v>3670</v>
      </c>
      <c r="Y32" t="s">
        <v>140</v>
      </c>
      <c r="Z32" t="s">
        <v>85</v>
      </c>
      <c r="AA32" s="75">
        <v>24085.599100000003</v>
      </c>
    </row>
    <row r="33" spans="1:27">
      <c r="A33" s="598" t="s">
        <v>17</v>
      </c>
      <c r="B33" s="59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98" t="s">
        <v>141</v>
      </c>
      <c r="L33" s="599"/>
      <c r="M33" s="8">
        <v>265206</v>
      </c>
      <c r="N33" s="8">
        <f t="shared" ref="N33:S33" si="5">AI15/2</f>
        <v>2684</v>
      </c>
      <c r="O33" s="8">
        <f t="shared" si="5"/>
        <v>690</v>
      </c>
      <c r="P33" s="8">
        <f t="shared" si="5"/>
        <v>3374</v>
      </c>
      <c r="Q33" s="8">
        <f t="shared" si="5"/>
        <v>2640</v>
      </c>
      <c r="R33" s="8">
        <f t="shared" si="5"/>
        <v>690</v>
      </c>
      <c r="S33" s="11">
        <f t="shared" si="5"/>
        <v>3330</v>
      </c>
      <c r="Y33" t="s">
        <v>15</v>
      </c>
      <c r="Z33" t="s">
        <v>86</v>
      </c>
      <c r="AA33" s="75">
        <v>10713.892900000001</v>
      </c>
    </row>
    <row r="34" spans="1:27">
      <c r="A34" s="12" t="s">
        <v>18</v>
      </c>
      <c r="B34" s="15" t="s">
        <v>21</v>
      </c>
      <c r="C34" s="8">
        <v>195776</v>
      </c>
      <c r="D34" s="8">
        <v>2659</v>
      </c>
      <c r="E34" s="8">
        <v>9370</v>
      </c>
      <c r="F34" s="8">
        <v>12029</v>
      </c>
      <c r="G34" s="8">
        <v>2659</v>
      </c>
      <c r="H34" s="8">
        <v>9366</v>
      </c>
      <c r="I34" s="11">
        <v>12025</v>
      </c>
      <c r="J34" s="33" t="s">
        <v>120</v>
      </c>
      <c r="K34" s="12" t="s">
        <v>142</v>
      </c>
      <c r="L34" s="15" t="s">
        <v>21</v>
      </c>
      <c r="M34" s="8">
        <v>195776</v>
      </c>
      <c r="N34" s="8">
        <f t="shared" ref="N34:S34" si="6">AI16/2</f>
        <v>3446</v>
      </c>
      <c r="O34" s="8">
        <f t="shared" si="6"/>
        <v>9370</v>
      </c>
      <c r="P34" s="8">
        <f t="shared" si="6"/>
        <v>12816</v>
      </c>
      <c r="Q34" s="8">
        <f t="shared" si="6"/>
        <v>3390</v>
      </c>
      <c r="R34" s="8">
        <f t="shared" si="6"/>
        <v>9366</v>
      </c>
      <c r="S34" s="11">
        <f t="shared" si="6"/>
        <v>12756</v>
      </c>
      <c r="Y34" t="s">
        <v>15</v>
      </c>
      <c r="Z34" t="s">
        <v>87</v>
      </c>
      <c r="AA34" s="75">
        <v>10028.5581</v>
      </c>
    </row>
    <row r="35" spans="1:27">
      <c r="A35" s="13" t="s">
        <v>19</v>
      </c>
      <c r="B35" s="15" t="s">
        <v>14</v>
      </c>
      <c r="C35" s="8">
        <v>68522</v>
      </c>
      <c r="D35" s="9">
        <v>614</v>
      </c>
      <c r="E35" s="8">
        <v>4451</v>
      </c>
      <c r="F35" s="8">
        <v>5065</v>
      </c>
      <c r="G35" s="9">
        <v>614</v>
      </c>
      <c r="H35" s="8">
        <v>4449</v>
      </c>
      <c r="I35" s="11">
        <v>5063</v>
      </c>
      <c r="J35" s="33"/>
      <c r="K35" s="13" t="s">
        <v>19</v>
      </c>
      <c r="L35" s="15" t="s">
        <v>14</v>
      </c>
      <c r="M35" s="8">
        <v>68522</v>
      </c>
      <c r="N35" s="8">
        <f t="shared" ref="N35:S35" si="7">AI17/2</f>
        <v>796</v>
      </c>
      <c r="O35" s="8">
        <f t="shared" si="7"/>
        <v>4451</v>
      </c>
      <c r="P35" s="8">
        <f t="shared" si="7"/>
        <v>5247</v>
      </c>
      <c r="Q35" s="8">
        <f t="shared" si="7"/>
        <v>783</v>
      </c>
      <c r="R35" s="8">
        <f t="shared" si="7"/>
        <v>4449</v>
      </c>
      <c r="S35" s="11">
        <f t="shared" si="7"/>
        <v>5232</v>
      </c>
      <c r="Y35" t="s">
        <v>15</v>
      </c>
      <c r="Z35" t="s">
        <v>88</v>
      </c>
      <c r="AA35" s="75">
        <v>21685.084499999997</v>
      </c>
    </row>
    <row r="36" spans="1:27" ht="25">
      <c r="A36" s="13" t="s">
        <v>20</v>
      </c>
      <c r="B36" s="15" t="s">
        <v>13</v>
      </c>
      <c r="C36" s="8">
        <v>68522</v>
      </c>
      <c r="D36" s="9">
        <v>472</v>
      </c>
      <c r="E36" s="8">
        <v>3997</v>
      </c>
      <c r="F36" s="8">
        <v>4469</v>
      </c>
      <c r="G36" s="9">
        <v>472</v>
      </c>
      <c r="H36" s="8">
        <v>3995</v>
      </c>
      <c r="I36" s="11">
        <v>4467</v>
      </c>
      <c r="J36" s="33"/>
      <c r="K36" s="13" t="s">
        <v>20</v>
      </c>
      <c r="L36" s="15" t="s">
        <v>13</v>
      </c>
      <c r="M36" s="8">
        <v>68522</v>
      </c>
      <c r="N36" s="8">
        <f t="shared" ref="N36:S36" si="8">AI18/2</f>
        <v>612</v>
      </c>
      <c r="O36" s="8">
        <f t="shared" si="8"/>
        <v>3997</v>
      </c>
      <c r="P36" s="8">
        <f t="shared" si="8"/>
        <v>4609</v>
      </c>
      <c r="Q36" s="8">
        <f t="shared" si="8"/>
        <v>602</v>
      </c>
      <c r="R36" s="8">
        <f t="shared" si="8"/>
        <v>3995</v>
      </c>
      <c r="S36" s="11">
        <f t="shared" si="8"/>
        <v>4597</v>
      </c>
      <c r="Y36" t="s">
        <v>15</v>
      </c>
      <c r="Z36" t="s">
        <v>83</v>
      </c>
      <c r="AA36" s="75">
        <v>10018.5584</v>
      </c>
    </row>
    <row r="37" spans="1:27">
      <c r="A37" s="14"/>
      <c r="B37" s="15" t="s">
        <v>23</v>
      </c>
      <c r="C37" s="8">
        <v>58733</v>
      </c>
      <c r="D37" s="8">
        <v>1573</v>
      </c>
      <c r="E37" s="9">
        <v>922</v>
      </c>
      <c r="F37" s="8">
        <v>2495</v>
      </c>
      <c r="G37" s="8">
        <v>1573</v>
      </c>
      <c r="H37" s="9">
        <v>922</v>
      </c>
      <c r="I37" s="11">
        <v>2495</v>
      </c>
      <c r="J37" s="33"/>
      <c r="K37" s="14"/>
      <c r="L37" s="15" t="s">
        <v>23</v>
      </c>
      <c r="M37" s="8">
        <v>58733</v>
      </c>
      <c r="N37" s="8">
        <f t="shared" ref="N37:S37" si="9">AI19/2</f>
        <v>2038</v>
      </c>
      <c r="O37" s="8">
        <f t="shared" si="9"/>
        <v>922</v>
      </c>
      <c r="P37" s="8">
        <f t="shared" si="9"/>
        <v>2960</v>
      </c>
      <c r="Q37" s="8">
        <f t="shared" si="9"/>
        <v>2005</v>
      </c>
      <c r="R37" s="8">
        <f t="shared" si="9"/>
        <v>922</v>
      </c>
      <c r="S37" s="11">
        <f t="shared" si="9"/>
        <v>2927</v>
      </c>
      <c r="Y37" t="s">
        <v>15</v>
      </c>
      <c r="Z37" t="s">
        <v>84</v>
      </c>
      <c r="AA37" s="75">
        <v>5030.8546999999999</v>
      </c>
    </row>
    <row r="38" spans="1:27">
      <c r="A38" s="598" t="s">
        <v>24</v>
      </c>
      <c r="B38" s="599"/>
      <c r="C38" s="8">
        <v>76980</v>
      </c>
      <c r="D38" s="9">
        <v>842</v>
      </c>
      <c r="E38" s="8">
        <v>2864</v>
      </c>
      <c r="F38" s="8">
        <v>3706</v>
      </c>
      <c r="G38" s="9">
        <v>842</v>
      </c>
      <c r="H38" s="8">
        <v>2863</v>
      </c>
      <c r="I38" s="11">
        <v>3705</v>
      </c>
      <c r="J38" s="33" t="s">
        <v>124</v>
      </c>
      <c r="K38" s="598" t="s">
        <v>144</v>
      </c>
      <c r="L38" s="599"/>
      <c r="M38" s="8">
        <v>76980</v>
      </c>
      <c r="N38" s="8">
        <f t="shared" ref="N38:S38" si="10">AI20/2</f>
        <v>1091</v>
      </c>
      <c r="O38" s="8">
        <f t="shared" si="10"/>
        <v>2864</v>
      </c>
      <c r="P38" s="8">
        <f t="shared" si="10"/>
        <v>3955</v>
      </c>
      <c r="Q38" s="8">
        <f t="shared" si="10"/>
        <v>1073</v>
      </c>
      <c r="R38" s="8">
        <f t="shared" si="10"/>
        <v>2863</v>
      </c>
      <c r="S38" s="11">
        <f t="shared" si="10"/>
        <v>3936</v>
      </c>
      <c r="Y38" t="s">
        <v>15</v>
      </c>
      <c r="Z38" t="s">
        <v>89</v>
      </c>
      <c r="AA38" s="75">
        <v>6744.6391999999996</v>
      </c>
    </row>
    <row r="39" spans="1:27">
      <c r="A39" s="598" t="s">
        <v>25</v>
      </c>
      <c r="B39" s="599"/>
      <c r="C39" s="8">
        <v>11571</v>
      </c>
      <c r="D39" s="9">
        <v>265</v>
      </c>
      <c r="E39" s="8">
        <v>2250</v>
      </c>
      <c r="F39" s="8">
        <v>2515</v>
      </c>
      <c r="G39" s="9">
        <v>265</v>
      </c>
      <c r="H39" s="8">
        <v>2249</v>
      </c>
      <c r="I39" s="11">
        <v>2514</v>
      </c>
      <c r="J39" s="33" t="s">
        <v>129</v>
      </c>
      <c r="K39" s="598" t="s">
        <v>145</v>
      </c>
      <c r="L39" s="599"/>
      <c r="M39" s="8">
        <v>11571</v>
      </c>
      <c r="N39" s="9">
        <f t="shared" ref="N39:S39" si="11">AI21/2</f>
        <v>344</v>
      </c>
      <c r="O39" s="8">
        <f t="shared" si="11"/>
        <v>2250</v>
      </c>
      <c r="P39" s="8">
        <f t="shared" si="11"/>
        <v>2594</v>
      </c>
      <c r="Q39" s="9">
        <f t="shared" si="11"/>
        <v>338</v>
      </c>
      <c r="R39" s="8">
        <f t="shared" si="11"/>
        <v>2249</v>
      </c>
      <c r="S39" s="11">
        <f t="shared" si="11"/>
        <v>2587</v>
      </c>
      <c r="Y39" t="s">
        <v>15</v>
      </c>
      <c r="Z39" t="s">
        <v>90</v>
      </c>
      <c r="AA39" s="75">
        <v>9730.2787000000008</v>
      </c>
    </row>
    <row r="40" spans="1:27" ht="17.5" thickBot="1">
      <c r="A40" s="600" t="s">
        <v>26</v>
      </c>
      <c r="B40" s="601"/>
      <c r="C40" s="16" t="s">
        <v>22</v>
      </c>
      <c r="D40" s="17">
        <v>31679</v>
      </c>
      <c r="E40" s="17">
        <v>35570</v>
      </c>
      <c r="F40" s="17">
        <v>67249</v>
      </c>
      <c r="G40" s="17">
        <v>31679</v>
      </c>
      <c r="H40" s="17">
        <v>35557</v>
      </c>
      <c r="I40" s="18">
        <v>67236</v>
      </c>
      <c r="K40" s="600" t="s">
        <v>26</v>
      </c>
      <c r="L40" s="601"/>
      <c r="M40" s="16" t="s">
        <v>22</v>
      </c>
      <c r="N40" s="17">
        <f t="shared" ref="N40:S40" si="12">AI22/2</f>
        <v>41052</v>
      </c>
      <c r="O40" s="17">
        <f t="shared" si="12"/>
        <v>35570</v>
      </c>
      <c r="P40" s="17">
        <f t="shared" si="12"/>
        <v>76622</v>
      </c>
      <c r="Q40" s="17">
        <f t="shared" si="12"/>
        <v>40381</v>
      </c>
      <c r="R40" s="17">
        <f t="shared" si="12"/>
        <v>35557</v>
      </c>
      <c r="S40" s="18">
        <f t="shared" si="12"/>
        <v>75938</v>
      </c>
      <c r="Y40" t="s">
        <v>15</v>
      </c>
      <c r="Z40" t="s">
        <v>91</v>
      </c>
      <c r="AA40" s="75">
        <v>11598.4503</v>
      </c>
    </row>
    <row r="41" spans="1:27" ht="17.5" thickTop="1">
      <c r="A41" s="19"/>
      <c r="B41" s="19"/>
      <c r="C41" s="20"/>
      <c r="D41" s="21"/>
      <c r="E41" s="21"/>
      <c r="F41" s="21"/>
      <c r="G41" s="21"/>
      <c r="H41" s="21"/>
      <c r="I41" s="21"/>
      <c r="K41" s="19"/>
      <c r="L41" s="19"/>
      <c r="M41" s="20"/>
      <c r="N41" s="21"/>
      <c r="O41" s="21"/>
      <c r="P41" s="21"/>
      <c r="Q41" s="21"/>
      <c r="R41" s="21"/>
      <c r="S41" s="21"/>
      <c r="Y41" t="s">
        <v>15</v>
      </c>
      <c r="Z41" t="s">
        <v>92</v>
      </c>
      <c r="AA41" s="75">
        <v>20670.0766</v>
      </c>
    </row>
    <row r="42" spans="1:27" ht="23">
      <c r="A42" s="32"/>
      <c r="B42" s="99" t="s">
        <v>272</v>
      </c>
      <c r="I42" t="s">
        <v>245</v>
      </c>
      <c r="L42" s="99" t="s">
        <v>278</v>
      </c>
      <c r="S42" t="s">
        <v>245</v>
      </c>
      <c r="Y42" t="s">
        <v>15</v>
      </c>
      <c r="Z42" t="s">
        <v>93</v>
      </c>
      <c r="AA42" s="75">
        <v>6590.8657999999996</v>
      </c>
    </row>
    <row r="43" spans="1:27">
      <c r="B43" s="594" t="s">
        <v>268</v>
      </c>
      <c r="C43" s="594"/>
      <c r="D43" s="100"/>
      <c r="E43" s="100" t="s">
        <v>261</v>
      </c>
      <c r="F43" s="100" t="s">
        <v>262</v>
      </c>
      <c r="G43" s="100" t="s">
        <v>263</v>
      </c>
      <c r="H43" s="100" t="s">
        <v>264</v>
      </c>
      <c r="I43" s="100" t="s">
        <v>265</v>
      </c>
      <c r="J43" s="100"/>
      <c r="L43" s="594" t="s">
        <v>271</v>
      </c>
      <c r="M43" s="594"/>
      <c r="N43" s="100"/>
      <c r="O43" s="100" t="s">
        <v>261</v>
      </c>
      <c r="P43" s="100" t="s">
        <v>262</v>
      </c>
      <c r="Q43" s="100" t="s">
        <v>263</v>
      </c>
      <c r="R43" s="100" t="s">
        <v>264</v>
      </c>
      <c r="S43" s="100" t="s">
        <v>265</v>
      </c>
      <c r="T43" s="100"/>
      <c r="Y43" t="s">
        <v>15</v>
      </c>
      <c r="Z43" t="s">
        <v>94</v>
      </c>
      <c r="AA43" s="75">
        <v>3970.3760000000002</v>
      </c>
    </row>
    <row r="44" spans="1:27">
      <c r="B44" s="575" t="s">
        <v>135</v>
      </c>
      <c r="C44" s="575"/>
      <c r="D44" s="98"/>
      <c r="E44" s="581" t="s">
        <v>273</v>
      </c>
      <c r="F44" s="582"/>
      <c r="G44" s="582"/>
      <c r="H44" s="582"/>
      <c r="I44" s="583"/>
      <c r="J44" s="98"/>
      <c r="L44" s="575" t="s">
        <v>135</v>
      </c>
      <c r="M44" s="575"/>
      <c r="N44" s="98"/>
      <c r="O44" s="581" t="s">
        <v>273</v>
      </c>
      <c r="P44" s="582"/>
      <c r="Q44" s="582"/>
      <c r="R44" s="583"/>
      <c r="S44" s="98"/>
      <c r="T44" s="98"/>
      <c r="Y44" t="s">
        <v>15</v>
      </c>
      <c r="Z44" t="s">
        <v>95</v>
      </c>
      <c r="AA44" s="75">
        <v>14487.1335</v>
      </c>
    </row>
    <row r="45" spans="1:27" ht="16.5" customHeight="1">
      <c r="B45" s="575"/>
      <c r="C45" s="575"/>
      <c r="D45" s="98"/>
      <c r="E45" s="584"/>
      <c r="F45" s="585"/>
      <c r="G45" s="585"/>
      <c r="H45" s="585"/>
      <c r="I45" s="586"/>
      <c r="J45" s="98"/>
      <c r="L45" s="575"/>
      <c r="M45" s="575"/>
      <c r="N45" s="98"/>
      <c r="O45" s="584"/>
      <c r="P45" s="585"/>
      <c r="Q45" s="585"/>
      <c r="R45" s="586"/>
      <c r="S45" s="98"/>
      <c r="T45" s="98"/>
      <c r="Y45" t="s">
        <v>15</v>
      </c>
      <c r="Z45" t="s">
        <v>96</v>
      </c>
      <c r="AA45" s="75">
        <v>7440.5132000000003</v>
      </c>
    </row>
    <row r="46" spans="1:27" ht="16.5" customHeight="1">
      <c r="B46" s="575" t="s">
        <v>136</v>
      </c>
      <c r="C46" s="575"/>
      <c r="D46" s="98" t="s">
        <v>266</v>
      </c>
      <c r="E46" s="101">
        <f>$N$29*U11</f>
        <v>36.155999999999999</v>
      </c>
      <c r="F46" s="101">
        <f t="shared" ref="F46:H46" si="13">$N$29*V11</f>
        <v>10.35</v>
      </c>
      <c r="G46" s="101">
        <f t="shared" si="13"/>
        <v>82.524000000000001</v>
      </c>
      <c r="H46" s="101">
        <f t="shared" si="13"/>
        <v>8.9700000000000006</v>
      </c>
      <c r="I46" s="101">
        <f>SUM(E46:H46)</f>
        <v>138</v>
      </c>
      <c r="J46" s="98" t="b">
        <f>I46=N29</f>
        <v>1</v>
      </c>
      <c r="L46" s="575" t="s">
        <v>136</v>
      </c>
      <c r="M46" s="575"/>
      <c r="N46" s="98" t="s">
        <v>266</v>
      </c>
      <c r="O46" s="101">
        <f>$Q$29*U11</f>
        <v>35.370000000000005</v>
      </c>
      <c r="P46" s="101">
        <f t="shared" ref="P46:R46" si="14">$Q$29*V11</f>
        <v>10.125</v>
      </c>
      <c r="Q46" s="101">
        <f t="shared" si="14"/>
        <v>80.72999999999999</v>
      </c>
      <c r="R46" s="101">
        <f t="shared" si="14"/>
        <v>8.7750000000000004</v>
      </c>
      <c r="S46" s="101">
        <f>SUM(O46:R46)</f>
        <v>135</v>
      </c>
      <c r="T46" s="98" t="b">
        <f>S46=Q29</f>
        <v>1</v>
      </c>
      <c r="Y46" t="s">
        <v>15</v>
      </c>
      <c r="Z46" t="s">
        <v>97</v>
      </c>
      <c r="AA46" s="75">
        <v>20150.029900000001</v>
      </c>
    </row>
    <row r="47" spans="1:27" ht="27" customHeight="1">
      <c r="B47" s="575"/>
      <c r="C47" s="575"/>
      <c r="D47" s="98" t="s">
        <v>267</v>
      </c>
      <c r="E47" s="101">
        <f>$O$29*U12</f>
        <v>198.01599999999999</v>
      </c>
      <c r="F47" s="101">
        <f t="shared" ref="F47:H47" si="15">$O$29*V12</f>
        <v>68.992000000000004</v>
      </c>
      <c r="G47" s="101">
        <f t="shared" si="15"/>
        <v>567.16800000000001</v>
      </c>
      <c r="H47" s="101">
        <f t="shared" si="15"/>
        <v>61.824000000000005</v>
      </c>
      <c r="I47" s="101">
        <f>SUM(E47:H47)</f>
        <v>895.99999999999989</v>
      </c>
      <c r="J47" s="98" t="b">
        <f>I47=O29</f>
        <v>1</v>
      </c>
      <c r="L47" s="575"/>
      <c r="M47" s="575"/>
      <c r="N47" s="98" t="s">
        <v>267</v>
      </c>
      <c r="O47" s="101">
        <f>$R$29*U12</f>
        <v>198.01599999999999</v>
      </c>
      <c r="P47" s="101">
        <f t="shared" ref="P47:R47" si="16">$R$29*V12</f>
        <v>68.992000000000004</v>
      </c>
      <c r="Q47" s="101">
        <f t="shared" si="16"/>
        <v>567.16800000000001</v>
      </c>
      <c r="R47" s="101">
        <f t="shared" si="16"/>
        <v>61.824000000000005</v>
      </c>
      <c r="S47" s="101">
        <f>SUM(O47:R47)</f>
        <v>895.99999999999989</v>
      </c>
      <c r="T47" s="98" t="b">
        <f>S47=R29</f>
        <v>1</v>
      </c>
      <c r="Y47" t="s">
        <v>15</v>
      </c>
      <c r="Z47" t="s">
        <v>98</v>
      </c>
      <c r="AA47" s="75">
        <v>8631.4781000000003</v>
      </c>
    </row>
    <row r="48" spans="1:27" ht="27" customHeight="1">
      <c r="B48" s="575" t="s">
        <v>137</v>
      </c>
      <c r="C48" s="575"/>
      <c r="D48" s="98" t="s">
        <v>266</v>
      </c>
      <c r="E48" s="101">
        <f>$N$30*U15</f>
        <v>312.512</v>
      </c>
      <c r="F48" s="101">
        <f t="shared" ref="F48:H48" si="17">$N$30*V15</f>
        <v>74.015999999999991</v>
      </c>
      <c r="G48" s="101">
        <f t="shared" si="17"/>
        <v>425.59199999999998</v>
      </c>
      <c r="H48" s="101">
        <f t="shared" si="17"/>
        <v>215.88</v>
      </c>
      <c r="I48" s="101">
        <f t="shared" ref="I48:I55" si="18">SUM(E48:H48)</f>
        <v>1028</v>
      </c>
      <c r="J48" s="98" t="b">
        <f>I48=N30</f>
        <v>1</v>
      </c>
      <c r="L48" s="575" t="s">
        <v>137</v>
      </c>
      <c r="M48" s="575"/>
      <c r="N48" s="98" t="s">
        <v>266</v>
      </c>
      <c r="O48" s="101">
        <f>$Q$30*U15</f>
        <v>307.34399999999999</v>
      </c>
      <c r="P48" s="101">
        <f t="shared" ref="P48:R48" si="19">$Q$30*V15</f>
        <v>72.792000000000002</v>
      </c>
      <c r="Q48" s="101">
        <f t="shared" si="19"/>
        <v>418.55399999999997</v>
      </c>
      <c r="R48" s="101">
        <f t="shared" si="19"/>
        <v>212.31</v>
      </c>
      <c r="S48" s="101">
        <f t="shared" ref="S48:S55" si="20">SUM(O48:R48)</f>
        <v>1011</v>
      </c>
      <c r="T48" s="98" t="b">
        <f>S48=Q30</f>
        <v>1</v>
      </c>
      <c r="Y48" t="s">
        <v>15</v>
      </c>
      <c r="Z48" t="s">
        <v>99</v>
      </c>
      <c r="AA48" s="75">
        <v>11977.777099999999</v>
      </c>
    </row>
    <row r="49" spans="2:27" ht="27" customHeight="1">
      <c r="B49" s="575"/>
      <c r="C49" s="575"/>
      <c r="D49" s="98" t="s">
        <v>267</v>
      </c>
      <c r="E49" s="101">
        <f>$O$30*U16</f>
        <v>1777.059</v>
      </c>
      <c r="F49" s="101">
        <f t="shared" ref="F49:H49" si="21">$O$30*V16</f>
        <v>437.07599999999996</v>
      </c>
      <c r="G49" s="101">
        <f t="shared" si="21"/>
        <v>2133.6210000000001</v>
      </c>
      <c r="H49" s="101">
        <f t="shared" si="21"/>
        <v>1403.2439999999999</v>
      </c>
      <c r="I49" s="101">
        <f t="shared" si="18"/>
        <v>5750.9999999999991</v>
      </c>
      <c r="J49" s="98" t="b">
        <f>I49=O30</f>
        <v>1</v>
      </c>
      <c r="L49" s="575"/>
      <c r="M49" s="575"/>
      <c r="N49" s="98" t="s">
        <v>267</v>
      </c>
      <c r="O49" s="101">
        <f>$R$30*U16</f>
        <v>1776.441</v>
      </c>
      <c r="P49" s="101">
        <f t="shared" ref="P49:R49" si="22">$R$30*V16</f>
        <v>436.92399999999998</v>
      </c>
      <c r="Q49" s="101">
        <f t="shared" si="22"/>
        <v>2132.8789999999999</v>
      </c>
      <c r="R49" s="101">
        <f t="shared" si="22"/>
        <v>1402.7559999999999</v>
      </c>
      <c r="S49" s="101">
        <f t="shared" si="20"/>
        <v>5749</v>
      </c>
      <c r="T49" s="98" t="b">
        <f>S49=R30</f>
        <v>1</v>
      </c>
      <c r="Y49" t="s">
        <v>15</v>
      </c>
      <c r="Z49" t="s">
        <v>100</v>
      </c>
      <c r="AA49" s="75">
        <v>5754.1068999999998</v>
      </c>
    </row>
    <row r="50" spans="2:27" ht="27" customHeight="1">
      <c r="B50" s="575" t="s">
        <v>139</v>
      </c>
      <c r="C50" s="575"/>
      <c r="D50" s="98" t="s">
        <v>266</v>
      </c>
      <c r="E50" s="101">
        <f>$N$31*U13</f>
        <v>11167.695</v>
      </c>
      <c r="F50" s="101">
        <f t="shared" ref="F50:H50" si="23">$N$31*V13</f>
        <v>1479.357</v>
      </c>
      <c r="G50" s="101">
        <f t="shared" si="23"/>
        <v>10094.436</v>
      </c>
      <c r="H50" s="101">
        <f t="shared" si="23"/>
        <v>6265.5119999999997</v>
      </c>
      <c r="I50" s="101">
        <f t="shared" si="18"/>
        <v>29006.999999999996</v>
      </c>
      <c r="J50" s="98" t="b">
        <f>I50=N31</f>
        <v>1</v>
      </c>
      <c r="L50" s="575" t="s">
        <v>139</v>
      </c>
      <c r="M50" s="575"/>
      <c r="N50" s="98" t="s">
        <v>266</v>
      </c>
      <c r="O50" s="101">
        <f>$Q$31*U13</f>
        <v>10984.82</v>
      </c>
      <c r="P50" s="101">
        <f t="shared" ref="P50:R50" si="24">$Q$31*V13</f>
        <v>1455.1319999999998</v>
      </c>
      <c r="Q50" s="101">
        <f t="shared" si="24"/>
        <v>9929.1359999999986</v>
      </c>
      <c r="R50" s="101">
        <f t="shared" si="24"/>
        <v>6162.9120000000003</v>
      </c>
      <c r="S50" s="101">
        <f t="shared" si="20"/>
        <v>28531.999999999996</v>
      </c>
      <c r="T50" s="98" t="b">
        <f>S50=Q31</f>
        <v>1</v>
      </c>
      <c r="Y50" t="s">
        <v>15</v>
      </c>
      <c r="Z50" t="s">
        <v>101</v>
      </c>
      <c r="AA50" s="75">
        <v>6005.2467999999999</v>
      </c>
    </row>
    <row r="51" spans="2:27" ht="27" customHeight="1">
      <c r="B51" s="575"/>
      <c r="C51" s="575"/>
      <c r="D51" s="98" t="s">
        <v>267</v>
      </c>
      <c r="E51" s="101">
        <f>$O$31*U14</f>
        <v>5234.0820000000003</v>
      </c>
      <c r="F51" s="101">
        <f t="shared" ref="F51:H51" si="25">$O$31*V14</f>
        <v>813.31600000000003</v>
      </c>
      <c r="G51" s="101">
        <f t="shared" si="25"/>
        <v>3213.91</v>
      </c>
      <c r="H51" s="101">
        <f t="shared" si="25"/>
        <v>3856.692</v>
      </c>
      <c r="I51" s="101">
        <f t="shared" si="18"/>
        <v>13118</v>
      </c>
      <c r="J51" s="98" t="b">
        <f>I51=O31</f>
        <v>1</v>
      </c>
      <c r="L51" s="575"/>
      <c r="M51" s="575"/>
      <c r="N51" s="98" t="s">
        <v>267</v>
      </c>
      <c r="O51" s="101">
        <f>$R$31*U14</f>
        <v>5232.0870000000004</v>
      </c>
      <c r="P51" s="101">
        <f t="shared" ref="P51:R51" si="26">$R$31*V14</f>
        <v>813.00599999999997</v>
      </c>
      <c r="Q51" s="101">
        <f t="shared" si="26"/>
        <v>3212.6849999999999</v>
      </c>
      <c r="R51" s="101">
        <f t="shared" si="26"/>
        <v>3855.2219999999998</v>
      </c>
      <c r="S51" s="101">
        <f t="shared" si="20"/>
        <v>13113</v>
      </c>
      <c r="T51" s="98" t="b">
        <f>S51=R31</f>
        <v>1</v>
      </c>
      <c r="Y51" t="s">
        <v>16</v>
      </c>
      <c r="Z51" t="s">
        <v>113</v>
      </c>
      <c r="AA51" s="75">
        <v>10596.0813</v>
      </c>
    </row>
    <row r="52" spans="2:27" ht="27" customHeight="1">
      <c r="B52" s="575" t="s">
        <v>43</v>
      </c>
      <c r="C52" s="575"/>
      <c r="D52" s="98" t="s">
        <v>266</v>
      </c>
      <c r="E52" s="101">
        <f>$N$32*U13</f>
        <v>1210.44</v>
      </c>
      <c r="F52" s="101">
        <f t="shared" ref="F52:H52" si="27">$N$32*V13</f>
        <v>160.34399999999999</v>
      </c>
      <c r="G52" s="101">
        <f t="shared" si="27"/>
        <v>1094.1119999999999</v>
      </c>
      <c r="H52" s="101">
        <f t="shared" si="27"/>
        <v>679.10400000000004</v>
      </c>
      <c r="I52" s="101">
        <f t="shared" si="18"/>
        <v>3144</v>
      </c>
      <c r="J52" s="98" t="b">
        <f>I52=N32</f>
        <v>1</v>
      </c>
      <c r="L52" s="575" t="s">
        <v>43</v>
      </c>
      <c r="M52" s="575"/>
      <c r="N52" s="98" t="s">
        <v>266</v>
      </c>
      <c r="O52" s="101">
        <f>$Q$32*U13</f>
        <v>1190.42</v>
      </c>
      <c r="P52" s="101">
        <f t="shared" ref="P52:R52" si="28">$Q$32*V13</f>
        <v>157.69199999999998</v>
      </c>
      <c r="Q52" s="101">
        <f t="shared" si="28"/>
        <v>1076.0159999999998</v>
      </c>
      <c r="R52" s="101">
        <f t="shared" si="28"/>
        <v>667.87199999999996</v>
      </c>
      <c r="S52" s="101">
        <f t="shared" si="20"/>
        <v>3091.9999999999995</v>
      </c>
      <c r="T52" s="98" t="b">
        <f>S52=Q32</f>
        <v>1</v>
      </c>
      <c r="Y52" t="s">
        <v>16</v>
      </c>
      <c r="Z52" t="s">
        <v>114</v>
      </c>
      <c r="AA52" s="75">
        <v>10127.7948</v>
      </c>
    </row>
    <row r="53" spans="2:27" ht="27" customHeight="1">
      <c r="B53" s="575"/>
      <c r="C53" s="575"/>
      <c r="D53" s="98" t="s">
        <v>267</v>
      </c>
      <c r="E53" s="101">
        <f>$O$32*U14</f>
        <v>230.62200000000001</v>
      </c>
      <c r="F53" s="101">
        <f t="shared" ref="F53:H53" si="29">$O$32*V14</f>
        <v>35.835999999999999</v>
      </c>
      <c r="G53" s="101">
        <f t="shared" si="29"/>
        <v>141.60999999999999</v>
      </c>
      <c r="H53" s="101">
        <f t="shared" si="29"/>
        <v>169.93199999999999</v>
      </c>
      <c r="I53" s="101">
        <f t="shared" si="18"/>
        <v>578</v>
      </c>
      <c r="J53" s="98" t="b">
        <f>I53=O32</f>
        <v>1</v>
      </c>
      <c r="L53" s="575"/>
      <c r="M53" s="575"/>
      <c r="N53" s="98" t="s">
        <v>267</v>
      </c>
      <c r="O53" s="101">
        <f>$R$32*U14</f>
        <v>230.62200000000001</v>
      </c>
      <c r="P53" s="101">
        <f t="shared" ref="P53:R53" si="30">$R$32*V14</f>
        <v>35.835999999999999</v>
      </c>
      <c r="Q53" s="101">
        <f t="shared" si="30"/>
        <v>141.60999999999999</v>
      </c>
      <c r="R53" s="101">
        <f t="shared" si="30"/>
        <v>169.93199999999999</v>
      </c>
      <c r="S53" s="101">
        <f t="shared" si="20"/>
        <v>578</v>
      </c>
      <c r="T53" s="98" t="b">
        <f>S53=R32</f>
        <v>1</v>
      </c>
      <c r="Y53" t="s">
        <v>16</v>
      </c>
      <c r="Z53" t="s">
        <v>115</v>
      </c>
      <c r="AA53" s="75">
        <v>8987.5704000000005</v>
      </c>
    </row>
    <row r="54" spans="2:27" ht="16.5" customHeight="1">
      <c r="B54" s="575" t="s">
        <v>141</v>
      </c>
      <c r="C54" s="575"/>
      <c r="D54" s="98" t="s">
        <v>266</v>
      </c>
      <c r="E54" s="101">
        <f>$N$33*U13</f>
        <v>1033.3399999999999</v>
      </c>
      <c r="F54" s="101">
        <f t="shared" ref="F54:H54" si="31">$N$33*V13</f>
        <v>136.88399999999999</v>
      </c>
      <c r="G54" s="101">
        <f t="shared" si="31"/>
        <v>934.03199999999993</v>
      </c>
      <c r="H54" s="101">
        <f t="shared" si="31"/>
        <v>579.74400000000003</v>
      </c>
      <c r="I54" s="101">
        <f t="shared" si="18"/>
        <v>2684</v>
      </c>
      <c r="J54" s="98" t="b">
        <f>I54=N33</f>
        <v>1</v>
      </c>
      <c r="L54" s="575" t="s">
        <v>141</v>
      </c>
      <c r="M54" s="575"/>
      <c r="N54" s="98" t="s">
        <v>266</v>
      </c>
      <c r="O54" s="101">
        <f>$Q$33*U13</f>
        <v>1016.4</v>
      </c>
      <c r="P54" s="101">
        <f t="shared" ref="P54:R54" si="32">$Q$33*V13</f>
        <v>134.63999999999999</v>
      </c>
      <c r="Q54" s="101">
        <f t="shared" si="32"/>
        <v>918.71999999999991</v>
      </c>
      <c r="R54" s="101">
        <f t="shared" si="32"/>
        <v>570.24</v>
      </c>
      <c r="S54" s="101">
        <f t="shared" si="20"/>
        <v>2640</v>
      </c>
      <c r="T54" s="98" t="b">
        <f>S54=Q33</f>
        <v>1</v>
      </c>
      <c r="Y54" t="s">
        <v>141</v>
      </c>
      <c r="Z54" t="s">
        <v>116</v>
      </c>
      <c r="AA54" s="75">
        <v>2607.4872</v>
      </c>
    </row>
    <row r="55" spans="2:27" ht="16.5" customHeight="1">
      <c r="B55" s="575"/>
      <c r="C55" s="575"/>
      <c r="D55" s="98" t="s">
        <v>267</v>
      </c>
      <c r="E55" s="101">
        <f>$O$33*U14</f>
        <v>275.31</v>
      </c>
      <c r="F55" s="101">
        <f t="shared" ref="F55:H55" si="33">$O$33*V14</f>
        <v>42.78</v>
      </c>
      <c r="G55" s="101">
        <f t="shared" si="33"/>
        <v>169.04999999999998</v>
      </c>
      <c r="H55" s="101">
        <f t="shared" si="33"/>
        <v>202.85999999999999</v>
      </c>
      <c r="I55" s="101">
        <f t="shared" si="18"/>
        <v>690</v>
      </c>
      <c r="J55" s="98" t="b">
        <f>I55=O33</f>
        <v>1</v>
      </c>
      <c r="L55" s="575"/>
      <c r="M55" s="575"/>
      <c r="N55" s="98" t="s">
        <v>267</v>
      </c>
      <c r="O55" s="101">
        <f>$R$33*U14</f>
        <v>275.31</v>
      </c>
      <c r="P55" s="101">
        <f t="shared" ref="P55:R55" si="34">$R$33*V14</f>
        <v>42.78</v>
      </c>
      <c r="Q55" s="101">
        <f t="shared" si="34"/>
        <v>169.04999999999998</v>
      </c>
      <c r="R55" s="101">
        <f t="shared" si="34"/>
        <v>202.85999999999999</v>
      </c>
      <c r="S55" s="101">
        <f t="shared" si="20"/>
        <v>690</v>
      </c>
      <c r="T55" s="98" t="b">
        <f>S55=R33</f>
        <v>1</v>
      </c>
      <c r="Y55" t="s">
        <v>141</v>
      </c>
      <c r="Z55" t="s">
        <v>103</v>
      </c>
      <c r="AA55" s="75">
        <v>15824.4439</v>
      </c>
    </row>
    <row r="56" spans="2:27" ht="38.25" customHeight="1">
      <c r="B56" s="575" t="s">
        <v>269</v>
      </c>
      <c r="C56" s="575" t="s">
        <v>14</v>
      </c>
      <c r="D56" s="98" t="s">
        <v>266</v>
      </c>
      <c r="E56" s="101">
        <f>$N$35*U15</f>
        <v>241.98399999999998</v>
      </c>
      <c r="F56" s="101">
        <f>$N$35*V15</f>
        <v>57.311999999999998</v>
      </c>
      <c r="G56" s="101">
        <f>$N$35*W15</f>
        <v>329.54399999999998</v>
      </c>
      <c r="H56" s="101">
        <f>$N$35*X15</f>
        <v>167.16</v>
      </c>
      <c r="I56" s="101">
        <f t="shared" ref="I56:I61" si="35">SUM(E56:H56)</f>
        <v>795.99999999999989</v>
      </c>
      <c r="J56" s="98" t="b">
        <f>I56=N35</f>
        <v>1</v>
      </c>
      <c r="L56" s="575" t="s">
        <v>269</v>
      </c>
      <c r="M56" s="575" t="s">
        <v>14</v>
      </c>
      <c r="N56" s="98" t="s">
        <v>266</v>
      </c>
      <c r="O56" s="101">
        <f>$Q$35*U15</f>
        <v>238.03199999999998</v>
      </c>
      <c r="P56" s="101">
        <f t="shared" ref="P56:R56" si="36">$Q$35*V15</f>
        <v>56.375999999999998</v>
      </c>
      <c r="Q56" s="101">
        <f t="shared" si="36"/>
        <v>324.16199999999998</v>
      </c>
      <c r="R56" s="101">
        <f t="shared" si="36"/>
        <v>164.43</v>
      </c>
      <c r="S56" s="101">
        <f t="shared" ref="S56:S61" si="37">SUM(O56:R56)</f>
        <v>783</v>
      </c>
      <c r="T56" s="98" t="b">
        <f>S56=Q35</f>
        <v>1</v>
      </c>
      <c r="Y56" t="s">
        <v>141</v>
      </c>
      <c r="Z56" t="s">
        <v>104</v>
      </c>
      <c r="AA56" s="75">
        <v>11511.7454</v>
      </c>
    </row>
    <row r="57" spans="2:27">
      <c r="B57" s="575"/>
      <c r="C57" s="575"/>
      <c r="D57" s="98" t="s">
        <v>267</v>
      </c>
      <c r="E57" s="101">
        <f>$O$35*U16</f>
        <v>1375.3589999999999</v>
      </c>
      <c r="F57" s="101">
        <f>$O$35*V16</f>
        <v>338.27600000000001</v>
      </c>
      <c r="G57" s="101">
        <f>$O$35*W16</f>
        <v>1651.3209999999999</v>
      </c>
      <c r="H57" s="101">
        <f>$O$35*X16</f>
        <v>1086.0439999999999</v>
      </c>
      <c r="I57" s="101">
        <f t="shared" si="35"/>
        <v>4451</v>
      </c>
      <c r="J57" s="98" t="b">
        <f>I57=O35</f>
        <v>1</v>
      </c>
      <c r="L57" s="575"/>
      <c r="M57" s="575"/>
      <c r="N57" s="98" t="s">
        <v>267</v>
      </c>
      <c r="O57" s="101">
        <f>$R$35*U16</f>
        <v>1374.741</v>
      </c>
      <c r="P57" s="101">
        <f t="shared" ref="P57:R57" si="38">$R$35*V16</f>
        <v>338.12399999999997</v>
      </c>
      <c r="Q57" s="101">
        <f t="shared" si="38"/>
        <v>1650.579</v>
      </c>
      <c r="R57" s="101">
        <f t="shared" si="38"/>
        <v>1085.556</v>
      </c>
      <c r="S57" s="101">
        <f t="shared" si="37"/>
        <v>4449</v>
      </c>
      <c r="T57" s="98" t="b">
        <f>S57=R35</f>
        <v>1</v>
      </c>
      <c r="Y57" t="s">
        <v>141</v>
      </c>
      <c r="Z57" t="s">
        <v>117</v>
      </c>
      <c r="AA57" s="75">
        <v>4659.9287999999997</v>
      </c>
    </row>
    <row r="58" spans="2:27" ht="25.5" customHeight="1">
      <c r="B58" s="575"/>
      <c r="C58" s="575" t="s">
        <v>13</v>
      </c>
      <c r="D58" s="98" t="s">
        <v>266</v>
      </c>
      <c r="E58" s="101">
        <f>$N$36*U11</f>
        <v>160.34399999999999</v>
      </c>
      <c r="F58" s="101">
        <f t="shared" ref="F58:H58" si="39">$N$36*V11</f>
        <v>45.9</v>
      </c>
      <c r="G58" s="101">
        <f t="shared" si="39"/>
        <v>365.976</v>
      </c>
      <c r="H58" s="101">
        <f t="shared" si="39"/>
        <v>39.78</v>
      </c>
      <c r="I58" s="101">
        <f t="shared" si="35"/>
        <v>612</v>
      </c>
      <c r="J58" s="98" t="b">
        <f>I58=N36</f>
        <v>1</v>
      </c>
      <c r="L58" s="575"/>
      <c r="M58" s="575" t="s">
        <v>13</v>
      </c>
      <c r="N58" s="98" t="s">
        <v>266</v>
      </c>
      <c r="O58" s="101">
        <f>$Q$36*U11</f>
        <v>157.72400000000002</v>
      </c>
      <c r="P58" s="101">
        <f t="shared" ref="P58:R58" si="40">$Q$36*V11</f>
        <v>45.15</v>
      </c>
      <c r="Q58" s="101">
        <f t="shared" si="40"/>
        <v>359.99599999999998</v>
      </c>
      <c r="R58" s="101">
        <f t="shared" si="40"/>
        <v>39.130000000000003</v>
      </c>
      <c r="S58" s="101">
        <f t="shared" si="37"/>
        <v>602</v>
      </c>
      <c r="T58" s="98" t="b">
        <f>S58=Q36</f>
        <v>1</v>
      </c>
      <c r="Y58" t="s">
        <v>141</v>
      </c>
      <c r="Z58" t="s">
        <v>118</v>
      </c>
      <c r="AA58" s="75">
        <v>23055.857</v>
      </c>
    </row>
    <row r="59" spans="2:27" ht="25.5" customHeight="1">
      <c r="B59" s="575"/>
      <c r="C59" s="575"/>
      <c r="D59" s="98" t="s">
        <v>267</v>
      </c>
      <c r="E59" s="101">
        <f>$O$36*U12</f>
        <v>883.33699999999999</v>
      </c>
      <c r="F59" s="101">
        <f t="shared" ref="F59:H59" si="41">$O$36*V12</f>
        <v>307.76900000000001</v>
      </c>
      <c r="G59" s="101">
        <f t="shared" si="41"/>
        <v>2530.1010000000001</v>
      </c>
      <c r="H59" s="101">
        <f t="shared" si="41"/>
        <v>275.79300000000001</v>
      </c>
      <c r="I59" s="101">
        <f t="shared" si="35"/>
        <v>3997.0000000000005</v>
      </c>
      <c r="J59" s="98" t="b">
        <f>I59=O36</f>
        <v>1</v>
      </c>
      <c r="L59" s="575"/>
      <c r="M59" s="575"/>
      <c r="N59" s="98" t="s">
        <v>267</v>
      </c>
      <c r="O59" s="101">
        <f>$R$36*U12</f>
        <v>882.89499999999998</v>
      </c>
      <c r="P59" s="101">
        <f t="shared" ref="P59:R59" si="42">$R$36*V12</f>
        <v>307.61500000000001</v>
      </c>
      <c r="Q59" s="101">
        <f t="shared" si="42"/>
        <v>2528.835</v>
      </c>
      <c r="R59" s="101">
        <f t="shared" si="42"/>
        <v>275.65500000000003</v>
      </c>
      <c r="S59" s="101">
        <f t="shared" si="37"/>
        <v>3995.0000000000005</v>
      </c>
      <c r="T59" s="98" t="b">
        <f>S59=R36</f>
        <v>1</v>
      </c>
      <c r="Y59" t="s">
        <v>141</v>
      </c>
      <c r="Z59" t="s">
        <v>119</v>
      </c>
      <c r="AA59" s="75">
        <v>12131.7871</v>
      </c>
    </row>
    <row r="60" spans="2:27">
      <c r="B60" s="575"/>
      <c r="C60" s="575" t="s">
        <v>23</v>
      </c>
      <c r="D60" s="98" t="s">
        <v>266</v>
      </c>
      <c r="E60" s="101">
        <f>$N$37*U17</f>
        <v>654.19799999999998</v>
      </c>
      <c r="F60" s="101">
        <f t="shared" ref="F60:H60" si="43">$N$37*V17</f>
        <v>146.73599999999999</v>
      </c>
      <c r="G60" s="101">
        <f t="shared" si="43"/>
        <v>857.99799999999993</v>
      </c>
      <c r="H60" s="101">
        <f t="shared" si="43"/>
        <v>379.06799999999998</v>
      </c>
      <c r="I60" s="101">
        <f t="shared" si="35"/>
        <v>2037.9999999999998</v>
      </c>
      <c r="J60" s="98" t="b">
        <f>I60=N37</f>
        <v>1</v>
      </c>
      <c r="L60" s="575"/>
      <c r="M60" s="575" t="s">
        <v>23</v>
      </c>
      <c r="N60" s="98" t="s">
        <v>266</v>
      </c>
      <c r="O60" s="101">
        <f>$Q$37*U17</f>
        <v>643.60500000000002</v>
      </c>
      <c r="P60" s="101">
        <f t="shared" ref="P60:R60" si="44">$Q$37*V17</f>
        <v>144.35999999999999</v>
      </c>
      <c r="Q60" s="101">
        <f t="shared" si="44"/>
        <v>844.10500000000002</v>
      </c>
      <c r="R60" s="101">
        <f t="shared" si="44"/>
        <v>372.93</v>
      </c>
      <c r="S60" s="101">
        <f t="shared" si="37"/>
        <v>2005.0000000000002</v>
      </c>
      <c r="T60" s="98" t="b">
        <f>S60=Q37</f>
        <v>1</v>
      </c>
      <c r="Y60" t="s">
        <v>143</v>
      </c>
      <c r="Z60" t="s">
        <v>121</v>
      </c>
      <c r="AA60" s="75">
        <v>17191.4817</v>
      </c>
    </row>
    <row r="61" spans="2:27">
      <c r="B61" s="575"/>
      <c r="C61" s="575"/>
      <c r="D61" s="98" t="s">
        <v>267</v>
      </c>
      <c r="E61" s="101">
        <f>$O$37*U18</f>
        <v>317.16799999999995</v>
      </c>
      <c r="F61" s="101">
        <f t="shared" ref="F61:H61" si="45">$O$37*V18</f>
        <v>87.59</v>
      </c>
      <c r="G61" s="101">
        <f t="shared" si="45"/>
        <v>352.20400000000001</v>
      </c>
      <c r="H61" s="101">
        <f t="shared" si="45"/>
        <v>165.03799999999998</v>
      </c>
      <c r="I61" s="101">
        <f t="shared" si="35"/>
        <v>922</v>
      </c>
      <c r="J61" s="98" t="b">
        <f>I61=O37</f>
        <v>1</v>
      </c>
      <c r="L61" s="575"/>
      <c r="M61" s="575"/>
      <c r="N61" s="98" t="s">
        <v>267</v>
      </c>
      <c r="O61" s="101">
        <f>$R$37*U18</f>
        <v>317.16799999999995</v>
      </c>
      <c r="P61" s="101">
        <f t="shared" ref="P61:R61" si="46">$R$37*V18</f>
        <v>87.59</v>
      </c>
      <c r="Q61" s="101">
        <f t="shared" si="46"/>
        <v>352.20400000000001</v>
      </c>
      <c r="R61" s="101">
        <f t="shared" si="46"/>
        <v>165.03799999999998</v>
      </c>
      <c r="S61" s="101">
        <f t="shared" si="37"/>
        <v>922</v>
      </c>
      <c r="T61" s="98" t="b">
        <f>S61=R37</f>
        <v>1</v>
      </c>
      <c r="Y61" t="s">
        <v>143</v>
      </c>
      <c r="Z61" t="s">
        <v>122</v>
      </c>
      <c r="AA61" s="75">
        <v>22736.497299999999</v>
      </c>
    </row>
    <row r="62" spans="2:27">
      <c r="B62" s="575" t="s">
        <v>144</v>
      </c>
      <c r="C62" s="575"/>
      <c r="D62" s="98" t="s">
        <v>266</v>
      </c>
      <c r="E62" s="101">
        <f>$N$38*U15</f>
        <v>331.66399999999999</v>
      </c>
      <c r="F62" s="101">
        <f t="shared" ref="F62:H62" si="47">$N$38*V15</f>
        <v>78.551999999999992</v>
      </c>
      <c r="G62" s="101">
        <f t="shared" si="47"/>
        <v>451.67399999999998</v>
      </c>
      <c r="H62" s="101">
        <f t="shared" si="47"/>
        <v>229.10999999999999</v>
      </c>
      <c r="I62" s="101">
        <f t="shared" ref="I62:I65" si="48">SUM(E62:H62)</f>
        <v>1091</v>
      </c>
      <c r="J62" s="98" t="b">
        <f>I62=N38</f>
        <v>1</v>
      </c>
      <c r="L62" s="575" t="s">
        <v>144</v>
      </c>
      <c r="M62" s="575"/>
      <c r="N62" s="98" t="s">
        <v>266</v>
      </c>
      <c r="O62" s="101">
        <f>$Q$38*U15</f>
        <v>326.19200000000001</v>
      </c>
      <c r="P62" s="101">
        <f t="shared" ref="P62:R62" si="49">$Q$38*V15</f>
        <v>77.256</v>
      </c>
      <c r="Q62" s="101">
        <f t="shared" si="49"/>
        <v>444.22199999999998</v>
      </c>
      <c r="R62" s="101">
        <f t="shared" si="49"/>
        <v>225.32999999999998</v>
      </c>
      <c r="S62" s="101">
        <f t="shared" ref="S62:S65" si="50">SUM(O62:R62)</f>
        <v>1073</v>
      </c>
      <c r="T62" s="98" t="b">
        <f>S62=Q38</f>
        <v>1</v>
      </c>
      <c r="Y62" t="s">
        <v>143</v>
      </c>
      <c r="Z62" t="s">
        <v>123</v>
      </c>
      <c r="AA62" s="75">
        <v>11592.5041</v>
      </c>
    </row>
    <row r="63" spans="2:27">
      <c r="B63" s="575"/>
      <c r="C63" s="575"/>
      <c r="D63" s="98" t="s">
        <v>267</v>
      </c>
      <c r="E63" s="101">
        <f>$O$38*U16</f>
        <v>884.976</v>
      </c>
      <c r="F63" s="101">
        <f t="shared" ref="F63:H63" si="51">$O$38*V16</f>
        <v>217.66399999999999</v>
      </c>
      <c r="G63" s="101">
        <f t="shared" si="51"/>
        <v>1062.5440000000001</v>
      </c>
      <c r="H63" s="101">
        <f t="shared" si="51"/>
        <v>698.81600000000003</v>
      </c>
      <c r="I63" s="101">
        <f t="shared" si="48"/>
        <v>2864</v>
      </c>
      <c r="J63" s="98" t="b">
        <f>I63=O38</f>
        <v>1</v>
      </c>
      <c r="L63" s="575"/>
      <c r="M63" s="575"/>
      <c r="N63" s="98" t="s">
        <v>267</v>
      </c>
      <c r="O63" s="101">
        <f>$R$38*U16</f>
        <v>884.66700000000003</v>
      </c>
      <c r="P63" s="101">
        <f t="shared" ref="P63:R63" si="52">$R$38*V16</f>
        <v>217.58799999999999</v>
      </c>
      <c r="Q63" s="101">
        <f t="shared" si="52"/>
        <v>1062.173</v>
      </c>
      <c r="R63" s="101">
        <f t="shared" si="52"/>
        <v>698.572</v>
      </c>
      <c r="S63" s="101">
        <f t="shared" si="50"/>
        <v>2863</v>
      </c>
      <c r="T63" s="98" t="b">
        <f>S63=R38</f>
        <v>1</v>
      </c>
      <c r="Y63" t="s">
        <v>144</v>
      </c>
      <c r="Z63" t="s">
        <v>125</v>
      </c>
      <c r="AA63" s="75">
        <v>11518.725399999999</v>
      </c>
    </row>
    <row r="64" spans="2:27" ht="16.5" customHeight="1">
      <c r="B64" s="575" t="s">
        <v>270</v>
      </c>
      <c r="C64" s="575"/>
      <c r="D64" s="98" t="s">
        <v>266</v>
      </c>
      <c r="E64" s="101">
        <f>$N$39*U11</f>
        <v>90.128</v>
      </c>
      <c r="F64" s="101">
        <f t="shared" ref="F64:H64" si="53">$N$39*V11</f>
        <v>25.8</v>
      </c>
      <c r="G64" s="101">
        <f t="shared" si="53"/>
        <v>205.71199999999999</v>
      </c>
      <c r="H64" s="101">
        <f t="shared" si="53"/>
        <v>22.36</v>
      </c>
      <c r="I64" s="101">
        <f t="shared" si="48"/>
        <v>344</v>
      </c>
      <c r="J64" s="98" t="b">
        <f>I64=N39</f>
        <v>1</v>
      </c>
      <c r="L64" s="575" t="s">
        <v>270</v>
      </c>
      <c r="M64" s="575"/>
      <c r="N64" s="98" t="s">
        <v>266</v>
      </c>
      <c r="O64" s="101">
        <f>$Q$39*U11</f>
        <v>88.555999999999997</v>
      </c>
      <c r="P64" s="101">
        <f t="shared" ref="P64:R64" si="54">$Q$39*V11</f>
        <v>25.349999999999998</v>
      </c>
      <c r="Q64" s="101">
        <f t="shared" si="54"/>
        <v>202.124</v>
      </c>
      <c r="R64" s="101">
        <f t="shared" si="54"/>
        <v>21.970000000000002</v>
      </c>
      <c r="S64" s="101">
        <f t="shared" si="50"/>
        <v>338</v>
      </c>
      <c r="T64" s="98" t="b">
        <f>S64=Q39</f>
        <v>1</v>
      </c>
      <c r="Y64" t="s">
        <v>24</v>
      </c>
      <c r="Z64" t="s">
        <v>126</v>
      </c>
      <c r="AA64" s="75">
        <v>8739.51</v>
      </c>
    </row>
    <row r="65" spans="2:27">
      <c r="B65" s="575"/>
      <c r="C65" s="575"/>
      <c r="D65" s="98" t="s">
        <v>267</v>
      </c>
      <c r="E65" s="101">
        <f>$O$39*U12</f>
        <v>497.25</v>
      </c>
      <c r="F65" s="101">
        <f t="shared" ref="F65:H65" si="55">$O$39*V12</f>
        <v>173.25</v>
      </c>
      <c r="G65" s="101">
        <f t="shared" si="55"/>
        <v>1424.25</v>
      </c>
      <c r="H65" s="101">
        <f t="shared" si="55"/>
        <v>155.25</v>
      </c>
      <c r="I65" s="101">
        <f t="shared" si="48"/>
        <v>2250</v>
      </c>
      <c r="J65" s="98" t="b">
        <f>I65=O39</f>
        <v>1</v>
      </c>
      <c r="L65" s="575"/>
      <c r="M65" s="575"/>
      <c r="N65" s="98" t="s">
        <v>267</v>
      </c>
      <c r="O65" s="101">
        <f>$R$39*U12</f>
        <v>497.029</v>
      </c>
      <c r="P65" s="101">
        <f t="shared" ref="P65:R65" si="56">$R$39*V12</f>
        <v>173.173</v>
      </c>
      <c r="Q65" s="101">
        <f t="shared" si="56"/>
        <v>1423.617</v>
      </c>
      <c r="R65" s="101">
        <f t="shared" si="56"/>
        <v>155.18100000000001</v>
      </c>
      <c r="S65" s="101">
        <f t="shared" si="50"/>
        <v>2249</v>
      </c>
      <c r="T65" s="98" t="b">
        <f>S65=R39</f>
        <v>1</v>
      </c>
      <c r="Y65" t="s">
        <v>146</v>
      </c>
      <c r="Z65" t="s">
        <v>127</v>
      </c>
      <c r="AA65" s="75">
        <v>2599.7966999999999</v>
      </c>
    </row>
    <row r="66" spans="2:27">
      <c r="Y66" t="s">
        <v>146</v>
      </c>
      <c r="Z66" t="s">
        <v>128</v>
      </c>
      <c r="AA66" s="75">
        <v>1032.4983</v>
      </c>
    </row>
    <row r="67" spans="2:27">
      <c r="Y67" t="s">
        <v>146</v>
      </c>
      <c r="Z67" t="s">
        <v>130</v>
      </c>
      <c r="AA67" s="75">
        <v>1625.5998999999999</v>
      </c>
    </row>
    <row r="68" spans="2:27">
      <c r="Y68" t="s">
        <v>146</v>
      </c>
      <c r="Z68" t="s">
        <v>131</v>
      </c>
      <c r="AA68" s="75">
        <v>2880.0880999999999</v>
      </c>
    </row>
    <row r="69" spans="2:27" ht="23">
      <c r="B69" s="102" t="s">
        <v>355</v>
      </c>
      <c r="L69" s="102" t="s">
        <v>356</v>
      </c>
      <c r="Y69" t="s">
        <v>146</v>
      </c>
      <c r="Z69" t="s">
        <v>132</v>
      </c>
      <c r="AA69" s="75">
        <v>687.99680000000001</v>
      </c>
    </row>
    <row r="70" spans="2:27" ht="16.5" customHeight="1">
      <c r="Y70" t="s">
        <v>146</v>
      </c>
      <c r="Z70" t="s">
        <v>133</v>
      </c>
      <c r="AA70" s="75">
        <v>2308.0711000000001</v>
      </c>
    </row>
    <row r="71" spans="2:27" ht="16.5" customHeight="1">
      <c r="G71" t="s">
        <v>277</v>
      </c>
      <c r="Y71" t="s">
        <v>146</v>
      </c>
      <c r="Z71" t="s">
        <v>134</v>
      </c>
      <c r="AA71" s="75">
        <v>4090.5911999999998</v>
      </c>
    </row>
    <row r="72" spans="2:27">
      <c r="C72" s="580" t="s">
        <v>27</v>
      </c>
      <c r="D72" s="580"/>
      <c r="E72" s="160" t="s">
        <v>261</v>
      </c>
      <c r="F72" s="160" t="s">
        <v>262</v>
      </c>
      <c r="G72" s="160" t="s">
        <v>357</v>
      </c>
      <c r="I72" s="100" t="s">
        <v>264</v>
      </c>
      <c r="J72" s="100" t="s">
        <v>265</v>
      </c>
      <c r="M72" s="580" t="s">
        <v>27</v>
      </c>
      <c r="N72" s="580"/>
      <c r="O72" s="160" t="s">
        <v>261</v>
      </c>
      <c r="P72" s="160" t="s">
        <v>262</v>
      </c>
      <c r="Q72" s="160" t="s">
        <v>358</v>
      </c>
    </row>
    <row r="73" spans="2:27" ht="16.5" customHeight="1">
      <c r="C73" s="574" t="s">
        <v>135</v>
      </c>
      <c r="D73" s="574"/>
      <c r="E73" s="161"/>
      <c r="F73" s="161"/>
      <c r="G73" s="161"/>
      <c r="I73" s="98"/>
      <c r="J73" s="98"/>
      <c r="M73" s="574" t="s">
        <v>135</v>
      </c>
      <c r="N73" s="574"/>
      <c r="O73" s="161"/>
      <c r="P73" s="161"/>
      <c r="Q73" s="161"/>
    </row>
    <row r="74" spans="2:27">
      <c r="C74" s="574" t="s">
        <v>136</v>
      </c>
      <c r="D74" s="574"/>
      <c r="E74" s="162">
        <f>SUM(E$46:E$47)/$L$7</f>
        <v>166.07943262411348</v>
      </c>
      <c r="F74" s="162">
        <f>SUM(F$46:F$47)/$M$7</f>
        <v>52.894666666666666</v>
      </c>
      <c r="G74" s="162">
        <f>SUM(G$46:G$47)/$O$7</f>
        <v>22.566585620006947</v>
      </c>
      <c r="I74" s="98"/>
      <c r="J74" s="98"/>
      <c r="M74" s="574" t="s">
        <v>136</v>
      </c>
      <c r="N74" s="574"/>
      <c r="O74" s="162">
        <f>SUM(O$46:O$47)/$L$7</f>
        <v>165.52198581560285</v>
      </c>
      <c r="P74" s="162">
        <f>SUM(P$46:P$47)/$M$7</f>
        <v>52.744666666666667</v>
      </c>
      <c r="Q74" s="162">
        <f>SUM(Q$46:Q$47)/$O$7</f>
        <v>22.50427231677666</v>
      </c>
    </row>
    <row r="75" spans="2:27" ht="16.5" customHeight="1">
      <c r="C75" s="574" t="s">
        <v>137</v>
      </c>
      <c r="D75" s="574"/>
      <c r="E75" s="162">
        <f>SUM(E$48:E$49)/$L$7</f>
        <v>1481.9652482269503</v>
      </c>
      <c r="F75" s="162">
        <f>SUM(F$48:F$49)/$M$7</f>
        <v>340.72800000000001</v>
      </c>
      <c r="G75" s="162">
        <f>SUM(G$48:G$49)/$O$7</f>
        <v>88.892427926363325</v>
      </c>
      <c r="I75" s="98"/>
      <c r="J75" s="98"/>
      <c r="M75" s="574" t="s">
        <v>137</v>
      </c>
      <c r="N75" s="574"/>
      <c r="O75" s="162">
        <f>SUM(O$48:O$49)/$L$7</f>
        <v>1477.8617021276596</v>
      </c>
      <c r="P75" s="162">
        <f>SUM(P$48:P$49)/$M$7</f>
        <v>339.81066666666669</v>
      </c>
      <c r="Q75" s="162">
        <f>SUM(Q$48:Q$49)/$O$7</f>
        <v>88.622195206668991</v>
      </c>
    </row>
    <row r="76" spans="2:27">
      <c r="C76" s="574" t="s">
        <v>139</v>
      </c>
      <c r="D76" s="574"/>
      <c r="E76" s="162">
        <f>SUM(E$50:E$51)/$L$7</f>
        <v>11632.46595744681</v>
      </c>
      <c r="F76" s="162">
        <f>SUM(F$50:F$51)/$M$7</f>
        <v>1528.4486666666664</v>
      </c>
      <c r="G76" s="162">
        <f>SUM(G$50:G$51)/$O$7</f>
        <v>462.25585272664119</v>
      </c>
      <c r="I76" s="98"/>
      <c r="J76" s="98"/>
      <c r="M76" s="574" t="s">
        <v>139</v>
      </c>
      <c r="N76" s="574"/>
      <c r="O76" s="162">
        <f>SUM(O$50:O$51)/$L$7</f>
        <v>11501.352482269504</v>
      </c>
      <c r="P76" s="162">
        <f>SUM(P$50:P$51)/$M$7</f>
        <v>1512.0919999999999</v>
      </c>
      <c r="Q76" s="162">
        <f>SUM(Q$50:Q$51)/$O$7</f>
        <v>456.47172629385199</v>
      </c>
    </row>
    <row r="77" spans="2:27" ht="16.5" customHeight="1">
      <c r="C77" s="574" t="s">
        <v>43</v>
      </c>
      <c r="D77" s="574"/>
      <c r="E77" s="162">
        <f>SUM(E$52:E$53)/$L$7</f>
        <v>1022.0297872340427</v>
      </c>
      <c r="F77" s="162">
        <f>SUM(F$52:F$53)/$M$7</f>
        <v>130.78666666666666</v>
      </c>
      <c r="G77" s="162">
        <f>SUM(G$52:G$53)/$O$7</f>
        <v>42.921917332407077</v>
      </c>
      <c r="I77" s="98"/>
      <c r="J77" s="98"/>
      <c r="M77" s="574" t="s">
        <v>43</v>
      </c>
      <c r="N77" s="574"/>
      <c r="O77" s="162">
        <f>SUM(O$52:O$53)/$L$7</f>
        <v>1007.831205673759</v>
      </c>
      <c r="P77" s="162">
        <f>SUM(P$52:P$53)/$M$7</f>
        <v>129.01866666666663</v>
      </c>
      <c r="Q77" s="162">
        <f>SUM(Q$52:Q$53)/$O$7</f>
        <v>42.293365751997214</v>
      </c>
    </row>
    <row r="78" spans="2:27">
      <c r="C78" s="574" t="s">
        <v>141</v>
      </c>
      <c r="D78" s="574"/>
      <c r="E78" s="162">
        <f>SUM(E$54:E$55)/$L$7</f>
        <v>928.12056737588648</v>
      </c>
      <c r="F78" s="162">
        <f>SUM(F$54:F$55)/$M$7</f>
        <v>119.776</v>
      </c>
      <c r="G78" s="162">
        <f>SUM(G$54:G$55)/$O$7</f>
        <v>38.314762070163248</v>
      </c>
      <c r="I78" s="98"/>
      <c r="J78" s="98"/>
      <c r="M78" s="574" t="s">
        <v>141</v>
      </c>
      <c r="N78" s="574"/>
      <c r="O78" s="162">
        <f>SUM(O$54:O$55)/$L$7</f>
        <v>916.10638297872345</v>
      </c>
      <c r="P78" s="162">
        <f>SUM(P$54:P$55)/$M$7</f>
        <v>118.27999999999999</v>
      </c>
      <c r="Q78" s="162">
        <f>SUM(Q$54:Q$55)/$O$7</f>
        <v>37.782910732893363</v>
      </c>
    </row>
    <row r="79" spans="2:27">
      <c r="C79" s="103" t="s">
        <v>142</v>
      </c>
      <c r="D79" s="103" t="s">
        <v>21</v>
      </c>
      <c r="E79" s="162"/>
      <c r="F79" s="162"/>
      <c r="G79" s="162"/>
      <c r="I79" s="98"/>
      <c r="J79" s="98"/>
      <c r="M79" s="103" t="s">
        <v>142</v>
      </c>
      <c r="N79" s="103" t="s">
        <v>21</v>
      </c>
      <c r="O79" s="162"/>
      <c r="P79" s="162"/>
      <c r="Q79" s="162"/>
    </row>
    <row r="80" spans="2:27">
      <c r="C80" s="103" t="s">
        <v>19</v>
      </c>
      <c r="D80" s="103" t="s">
        <v>14</v>
      </c>
      <c r="E80" s="162">
        <f>SUM(E$56:E$57)/$L$7</f>
        <v>1147.0517730496454</v>
      </c>
      <c r="F80" s="162">
        <f>SUM(F$56:F$57)/$M$7</f>
        <v>263.72533333333337</v>
      </c>
      <c r="G80" s="162">
        <f>SUM(G$56:G$57)/$O$7</f>
        <v>68.803924973949279</v>
      </c>
      <c r="I80" s="98"/>
      <c r="J80" s="98"/>
      <c r="M80" s="103" t="s">
        <v>19</v>
      </c>
      <c r="N80" s="103" t="s">
        <v>14</v>
      </c>
      <c r="O80" s="162">
        <f>SUM(O$56:O$57)/$L$7</f>
        <v>1143.8106382978724</v>
      </c>
      <c r="P80" s="162">
        <f>SUM(P$56:P$57)/$M$7</f>
        <v>262.99999999999994</v>
      </c>
      <c r="Q80" s="162">
        <f>SUM(Q$56:Q$57)/$O$7</f>
        <v>68.591212226467519</v>
      </c>
    </row>
    <row r="81" spans="3:40" ht="17.25" customHeight="1">
      <c r="C81" s="103" t="s">
        <v>20</v>
      </c>
      <c r="D81" s="103" t="s">
        <v>13</v>
      </c>
      <c r="E81" s="162">
        <f>SUM(E$58:E$59)/$L$7</f>
        <v>740.19929078014195</v>
      </c>
      <c r="F81" s="162">
        <f>SUM(F$58:F$59)/$M$7</f>
        <v>235.77933333333331</v>
      </c>
      <c r="G81" s="162">
        <f>SUM(G$58:G$59)/$O$7</f>
        <v>100.59315734630081</v>
      </c>
      <c r="I81" s="98"/>
      <c r="J81" s="98"/>
      <c r="M81" s="103" t="s">
        <v>20</v>
      </c>
      <c r="N81" s="103" t="s">
        <v>13</v>
      </c>
      <c r="O81" s="162">
        <f>SUM(O$58:O$59)/$L$7</f>
        <v>738.02765957446809</v>
      </c>
      <c r="P81" s="162">
        <f>SUM(P$58:P$59)/$M$7</f>
        <v>235.17666666666665</v>
      </c>
      <c r="Q81" s="162">
        <f>SUM(Q$58:Q$59)/$O$7</f>
        <v>100.34147273358806</v>
      </c>
    </row>
    <row r="82" spans="3:40" ht="17.5" thickBot="1">
      <c r="C82" s="104"/>
      <c r="D82" s="103" t="s">
        <v>23</v>
      </c>
      <c r="E82" s="162">
        <f>SUM(E$60:E$61)/$L$7</f>
        <v>688.91205673758873</v>
      </c>
      <c r="F82" s="162">
        <f>SUM(F$60:F$61)/$M$7</f>
        <v>156.21733333333333</v>
      </c>
      <c r="G82" s="162">
        <f>SUM(G$60:G$61)/$O$7</f>
        <v>42.035498436957276</v>
      </c>
      <c r="I82" s="98"/>
      <c r="J82" s="98"/>
      <c r="M82" s="104"/>
      <c r="N82" s="103" t="s">
        <v>23</v>
      </c>
      <c r="O82" s="162">
        <f>SUM(O$60:O$61)/$L$7</f>
        <v>681.39929078014177</v>
      </c>
      <c r="P82" s="162">
        <f>SUM(P$60:P$61)/$M$7</f>
        <v>154.63333333333333</v>
      </c>
      <c r="Q82" s="162">
        <f>SUM(Q$60:Q$61)/$O$7</f>
        <v>41.552935046891285</v>
      </c>
      <c r="AF82" s="8">
        <v>6288</v>
      </c>
      <c r="AG82" s="8">
        <v>5368</v>
      </c>
      <c r="AH82" s="8">
        <v>6892</v>
      </c>
      <c r="AI82" s="8">
        <v>1592</v>
      </c>
      <c r="AJ82" s="8">
        <v>1224</v>
      </c>
      <c r="AK82" s="8">
        <v>4076</v>
      </c>
      <c r="AL82" s="8">
        <v>2182</v>
      </c>
      <c r="AM82" s="9">
        <v>688</v>
      </c>
      <c r="AN82" s="17">
        <v>82104</v>
      </c>
    </row>
    <row r="83" spans="3:40" ht="18" customHeight="1" thickTop="1" thickBot="1">
      <c r="C83" s="574" t="s">
        <v>144</v>
      </c>
      <c r="D83" s="574"/>
      <c r="E83" s="162">
        <f>SUM(E$62:E$63)/$L$7</f>
        <v>862.86524822695026</v>
      </c>
      <c r="F83" s="162">
        <f>SUM(F$62:F$63)/$M$7</f>
        <v>197.47733333333335</v>
      </c>
      <c r="G83" s="162">
        <f>SUM(G$62:G$63)/$O$7</f>
        <v>52.595276137547764</v>
      </c>
      <c r="I83" s="98"/>
      <c r="J83" s="98"/>
      <c r="M83" s="574" t="s">
        <v>144</v>
      </c>
      <c r="N83" s="574"/>
      <c r="O83" s="162">
        <f>SUM(O$62:O$63)/$L$7</f>
        <v>858.76524822695035</v>
      </c>
      <c r="P83" s="162">
        <f>SUM(P$62:P$63)/$M$7</f>
        <v>196.56266666666667</v>
      </c>
      <c r="Q83" s="162">
        <f>SUM(Q$62:Q$63)/$O$7</f>
        <v>52.32354984369573</v>
      </c>
      <c r="AF83" s="8">
        <v>1156</v>
      </c>
      <c r="AG83" s="8">
        <v>1380</v>
      </c>
      <c r="AH83" s="8">
        <v>18740</v>
      </c>
      <c r="AI83" s="8">
        <v>8902</v>
      </c>
      <c r="AJ83" s="8">
        <v>7994</v>
      </c>
      <c r="AK83" s="8">
        <v>1844</v>
      </c>
      <c r="AL83" s="8">
        <v>5728</v>
      </c>
      <c r="AM83" s="8">
        <v>4500</v>
      </c>
      <c r="AN83" s="17">
        <v>71140</v>
      </c>
    </row>
    <row r="84" spans="3:40" ht="18" thickTop="1" thickBot="1">
      <c r="C84" s="574" t="s">
        <v>145</v>
      </c>
      <c r="D84" s="574"/>
      <c r="E84" s="162">
        <f>SUM(E$64:E$65)/$L$7</f>
        <v>416.58014184397166</v>
      </c>
      <c r="F84" s="162">
        <f>SUM(F$64:F$65)/$M$7</f>
        <v>132.70000000000002</v>
      </c>
      <c r="G84" s="162">
        <f>SUM(G$64:G$65)/$O$7</f>
        <v>56.615560958666208</v>
      </c>
      <c r="I84" s="98"/>
      <c r="J84" s="98"/>
      <c r="M84" s="574" t="s">
        <v>145</v>
      </c>
      <c r="N84" s="574"/>
      <c r="O84" s="162">
        <f>SUM(O$64:O$65)/$L$7</f>
        <v>415.30851063829795</v>
      </c>
      <c r="P84" s="162">
        <f>SUM(P$64:P$65)/$M$7</f>
        <v>132.34866666666667</v>
      </c>
      <c r="Q84" s="162">
        <f>SUM(Q$64:Q$65)/$O$7</f>
        <v>56.468947551233072</v>
      </c>
      <c r="AF84" s="8">
        <v>7444</v>
      </c>
      <c r="AG84" s="8">
        <v>6748</v>
      </c>
      <c r="AH84" s="8">
        <v>25632</v>
      </c>
      <c r="AI84" s="8">
        <v>10494</v>
      </c>
      <c r="AJ84" s="8">
        <v>9218</v>
      </c>
      <c r="AK84" s="8">
        <v>5920</v>
      </c>
      <c r="AL84" s="8">
        <v>7910</v>
      </c>
      <c r="AM84" s="8">
        <v>5188</v>
      </c>
      <c r="AN84" s="17">
        <v>153244</v>
      </c>
    </row>
    <row r="85" spans="3:40" ht="18" thickTop="1" thickBot="1">
      <c r="C85" s="574" t="s">
        <v>26</v>
      </c>
      <c r="D85" s="574"/>
      <c r="E85" s="161"/>
      <c r="F85" s="161"/>
      <c r="G85" s="161"/>
      <c r="I85" s="98"/>
      <c r="J85" s="98"/>
      <c r="M85" s="574" t="s">
        <v>26</v>
      </c>
      <c r="N85" s="574"/>
      <c r="O85" s="161"/>
      <c r="P85" s="161"/>
      <c r="Q85" s="161"/>
      <c r="AF85" s="8">
        <v>6184</v>
      </c>
      <c r="AG85" s="8">
        <v>5280</v>
      </c>
      <c r="AH85" s="8">
        <v>6780</v>
      </c>
      <c r="AI85" s="8">
        <v>1566</v>
      </c>
      <c r="AJ85" s="8">
        <v>1204</v>
      </c>
      <c r="AK85" s="8">
        <v>4010</v>
      </c>
      <c r="AL85" s="8">
        <v>2146</v>
      </c>
      <c r="AM85" s="9">
        <v>676</v>
      </c>
      <c r="AN85" s="17">
        <v>80762</v>
      </c>
    </row>
    <row r="86" spans="3:40" ht="18" thickTop="1" thickBot="1">
      <c r="AF86" s="8">
        <v>1156</v>
      </c>
      <c r="AG86" s="8">
        <v>1380</v>
      </c>
      <c r="AH86" s="8">
        <v>18732</v>
      </c>
      <c r="AI86" s="8">
        <v>8898</v>
      </c>
      <c r="AJ86" s="8">
        <v>7990</v>
      </c>
      <c r="AK86" s="8">
        <v>1844</v>
      </c>
      <c r="AL86" s="8">
        <v>5726</v>
      </c>
      <c r="AM86" s="8">
        <v>4498</v>
      </c>
      <c r="AN86" s="17">
        <v>71114</v>
      </c>
    </row>
    <row r="87" spans="3:40" ht="45" thickTop="1" thickBot="1">
      <c r="J87" s="26" t="s">
        <v>48</v>
      </c>
      <c r="AF87" s="11">
        <v>7340</v>
      </c>
      <c r="AG87" s="11">
        <v>6660</v>
      </c>
      <c r="AH87" s="11">
        <v>25512</v>
      </c>
      <c r="AI87" s="11">
        <v>10464</v>
      </c>
      <c r="AJ87" s="11">
        <v>9194</v>
      </c>
      <c r="AK87" s="11">
        <v>5854</v>
      </c>
      <c r="AL87" s="11">
        <v>7872</v>
      </c>
      <c r="AM87" s="11">
        <v>5174</v>
      </c>
      <c r="AN87" s="18">
        <v>151876</v>
      </c>
    </row>
    <row r="88" spans="3:40" ht="21.5" thickTop="1" thickBot="1">
      <c r="K88" s="25" t="s">
        <v>69</v>
      </c>
    </row>
    <row r="89" spans="3:40" ht="17.5" thickTop="1">
      <c r="K89" s="595" t="s">
        <v>49</v>
      </c>
      <c r="L89" s="587" t="s">
        <v>50</v>
      </c>
      <c r="M89" s="597"/>
      <c r="N89" s="587" t="s">
        <v>51</v>
      </c>
      <c r="O89" s="597"/>
      <c r="P89" s="587" t="s">
        <v>52</v>
      </c>
      <c r="Q89" s="597"/>
      <c r="R89" s="587" t="s">
        <v>53</v>
      </c>
      <c r="S89" s="588"/>
      <c r="T89" s="589"/>
    </row>
    <row r="90" spans="3:40" ht="17.5" thickBot="1">
      <c r="K90" s="596"/>
      <c r="L90" s="27" t="s">
        <v>40</v>
      </c>
      <c r="M90" s="27" t="s">
        <v>41</v>
      </c>
      <c r="N90" s="27" t="s">
        <v>40</v>
      </c>
      <c r="O90" s="27" t="s">
        <v>41</v>
      </c>
      <c r="P90" s="27" t="s">
        <v>40</v>
      </c>
      <c r="Q90" s="27" t="s">
        <v>41</v>
      </c>
      <c r="R90" s="27" t="s">
        <v>40</v>
      </c>
      <c r="S90" s="27" t="s">
        <v>41</v>
      </c>
      <c r="T90" s="28" t="s">
        <v>21</v>
      </c>
    </row>
    <row r="91" spans="3:40" ht="17.5" thickTop="1">
      <c r="K91" s="22" t="s">
        <v>54</v>
      </c>
      <c r="L91" s="6">
        <v>15</v>
      </c>
      <c r="M91" s="6">
        <v>15</v>
      </c>
      <c r="N91" s="6">
        <v>8</v>
      </c>
      <c r="O91" s="6">
        <v>8</v>
      </c>
      <c r="P91" s="6">
        <v>16</v>
      </c>
      <c r="Q91" s="6">
        <v>16</v>
      </c>
      <c r="R91" s="6">
        <v>39</v>
      </c>
      <c r="S91" s="6">
        <v>39</v>
      </c>
      <c r="T91" s="7">
        <v>78</v>
      </c>
    </row>
    <row r="92" spans="3:40">
      <c r="K92" s="23" t="s">
        <v>55</v>
      </c>
      <c r="L92" s="9">
        <v>17</v>
      </c>
      <c r="M92" s="9">
        <v>17</v>
      </c>
      <c r="N92" s="9">
        <v>9</v>
      </c>
      <c r="O92" s="9">
        <v>9</v>
      </c>
      <c r="P92" s="9">
        <v>18</v>
      </c>
      <c r="Q92" s="9">
        <v>18</v>
      </c>
      <c r="R92" s="9">
        <v>44</v>
      </c>
      <c r="S92" s="9">
        <v>44</v>
      </c>
      <c r="T92" s="10">
        <v>88</v>
      </c>
    </row>
    <row r="93" spans="3:40">
      <c r="K93" s="23" t="s">
        <v>56</v>
      </c>
      <c r="L93" s="9">
        <v>17</v>
      </c>
      <c r="M93" s="9">
        <v>17</v>
      </c>
      <c r="N93" s="9">
        <v>9</v>
      </c>
      <c r="O93" s="9">
        <v>9</v>
      </c>
      <c r="P93" s="9">
        <v>18</v>
      </c>
      <c r="Q93" s="9">
        <v>18</v>
      </c>
      <c r="R93" s="9">
        <v>44</v>
      </c>
      <c r="S93" s="9">
        <v>44</v>
      </c>
      <c r="T93" s="10">
        <v>88</v>
      </c>
    </row>
    <row r="94" spans="3:40">
      <c r="K94" s="23" t="s">
        <v>57</v>
      </c>
      <c r="L94" s="9">
        <v>60</v>
      </c>
      <c r="M94" s="9">
        <v>60</v>
      </c>
      <c r="N94" s="9">
        <v>33</v>
      </c>
      <c r="O94" s="9">
        <v>33</v>
      </c>
      <c r="P94" s="9">
        <v>65</v>
      </c>
      <c r="Q94" s="9">
        <v>65</v>
      </c>
      <c r="R94" s="9">
        <v>158</v>
      </c>
      <c r="S94" s="9">
        <v>158</v>
      </c>
      <c r="T94" s="10">
        <v>316</v>
      </c>
    </row>
    <row r="95" spans="3:40">
      <c r="K95" s="23" t="s">
        <v>58</v>
      </c>
      <c r="L95" s="9">
        <v>103</v>
      </c>
      <c r="M95" s="9">
        <v>103</v>
      </c>
      <c r="N95" s="9">
        <v>56</v>
      </c>
      <c r="O95" s="9">
        <v>56</v>
      </c>
      <c r="P95" s="9">
        <v>112</v>
      </c>
      <c r="Q95" s="9">
        <v>112</v>
      </c>
      <c r="R95" s="9">
        <v>271</v>
      </c>
      <c r="S95" s="9">
        <v>271</v>
      </c>
      <c r="T95" s="10">
        <v>542</v>
      </c>
    </row>
    <row r="96" spans="3:40">
      <c r="K96" s="23" t="s">
        <v>59</v>
      </c>
      <c r="L96" s="9">
        <v>94</v>
      </c>
      <c r="M96" s="9">
        <v>94</v>
      </c>
      <c r="N96" s="9">
        <v>52</v>
      </c>
      <c r="O96" s="9">
        <v>52</v>
      </c>
      <c r="P96" s="9">
        <v>103</v>
      </c>
      <c r="Q96" s="9">
        <v>103</v>
      </c>
      <c r="R96" s="9">
        <v>249</v>
      </c>
      <c r="S96" s="9">
        <v>249</v>
      </c>
      <c r="T96" s="10">
        <v>498</v>
      </c>
    </row>
    <row r="97" spans="11:20">
      <c r="K97" s="23" t="s">
        <v>60</v>
      </c>
      <c r="L97" s="9">
        <v>26</v>
      </c>
      <c r="M97" s="9">
        <v>26</v>
      </c>
      <c r="N97" s="9">
        <v>14</v>
      </c>
      <c r="O97" s="9">
        <v>14</v>
      </c>
      <c r="P97" s="9">
        <v>28</v>
      </c>
      <c r="Q97" s="9">
        <v>28</v>
      </c>
      <c r="R97" s="9">
        <v>68</v>
      </c>
      <c r="S97" s="9">
        <v>68</v>
      </c>
      <c r="T97" s="10">
        <v>136</v>
      </c>
    </row>
    <row r="98" spans="11:20">
      <c r="K98" s="23" t="s">
        <v>61</v>
      </c>
      <c r="L98" s="9">
        <v>69</v>
      </c>
      <c r="M98" s="9">
        <v>69</v>
      </c>
      <c r="N98" s="9">
        <v>38</v>
      </c>
      <c r="O98" s="9">
        <v>38</v>
      </c>
      <c r="P98" s="9">
        <v>74</v>
      </c>
      <c r="Q98" s="9">
        <v>74</v>
      </c>
      <c r="R98" s="9">
        <v>181</v>
      </c>
      <c r="S98" s="9">
        <v>181</v>
      </c>
      <c r="T98" s="10">
        <v>362</v>
      </c>
    </row>
    <row r="99" spans="11:20">
      <c r="K99" s="23" t="s">
        <v>62</v>
      </c>
      <c r="L99" s="9">
        <v>60</v>
      </c>
      <c r="M99" s="9">
        <v>60</v>
      </c>
      <c r="N99" s="9">
        <v>33</v>
      </c>
      <c r="O99" s="9">
        <v>33</v>
      </c>
      <c r="P99" s="9">
        <v>65</v>
      </c>
      <c r="Q99" s="9">
        <v>65</v>
      </c>
      <c r="R99" s="9">
        <v>158</v>
      </c>
      <c r="S99" s="9">
        <v>158</v>
      </c>
      <c r="T99" s="10">
        <v>316</v>
      </c>
    </row>
    <row r="100" spans="11:20">
      <c r="K100" s="23" t="s">
        <v>63</v>
      </c>
      <c r="L100" s="9">
        <v>69</v>
      </c>
      <c r="M100" s="9">
        <v>69</v>
      </c>
      <c r="N100" s="9">
        <v>38</v>
      </c>
      <c r="O100" s="9">
        <v>38</v>
      </c>
      <c r="P100" s="9">
        <v>74</v>
      </c>
      <c r="Q100" s="9">
        <v>74</v>
      </c>
      <c r="R100" s="9">
        <v>181</v>
      </c>
      <c r="S100" s="9">
        <v>181</v>
      </c>
      <c r="T100" s="10">
        <v>362</v>
      </c>
    </row>
    <row r="101" spans="11:20">
      <c r="K101" s="23" t="s">
        <v>64</v>
      </c>
      <c r="L101" s="9">
        <v>77</v>
      </c>
      <c r="M101" s="9">
        <v>77</v>
      </c>
      <c r="N101" s="9">
        <v>42</v>
      </c>
      <c r="O101" s="9">
        <v>42</v>
      </c>
      <c r="P101" s="9">
        <v>84</v>
      </c>
      <c r="Q101" s="9">
        <v>84</v>
      </c>
      <c r="R101" s="9">
        <v>203</v>
      </c>
      <c r="S101" s="9">
        <v>203</v>
      </c>
      <c r="T101" s="10">
        <v>406</v>
      </c>
    </row>
    <row r="102" spans="11:20">
      <c r="K102" s="23" t="s">
        <v>65</v>
      </c>
      <c r="L102" s="9">
        <v>77</v>
      </c>
      <c r="M102" s="9">
        <v>77</v>
      </c>
      <c r="N102" s="9">
        <v>42</v>
      </c>
      <c r="O102" s="9">
        <v>42</v>
      </c>
      <c r="P102" s="9">
        <v>84</v>
      </c>
      <c r="Q102" s="9">
        <v>84</v>
      </c>
      <c r="R102" s="9">
        <v>203</v>
      </c>
      <c r="S102" s="9">
        <v>203</v>
      </c>
      <c r="T102" s="10">
        <v>406</v>
      </c>
    </row>
    <row r="103" spans="11:20">
      <c r="K103" s="23" t="s">
        <v>66</v>
      </c>
      <c r="L103" s="9">
        <v>43</v>
      </c>
      <c r="M103" s="9">
        <v>43</v>
      </c>
      <c r="N103" s="9">
        <v>24</v>
      </c>
      <c r="O103" s="9">
        <v>24</v>
      </c>
      <c r="P103" s="9">
        <v>47</v>
      </c>
      <c r="Q103" s="9">
        <v>47</v>
      </c>
      <c r="R103" s="9">
        <v>114</v>
      </c>
      <c r="S103" s="9">
        <v>114</v>
      </c>
      <c r="T103" s="10">
        <v>228</v>
      </c>
    </row>
    <row r="104" spans="11:20">
      <c r="K104" s="23" t="s">
        <v>67</v>
      </c>
      <c r="L104" s="9">
        <v>9</v>
      </c>
      <c r="M104" s="9">
        <v>9</v>
      </c>
      <c r="N104" s="9">
        <v>5</v>
      </c>
      <c r="O104" s="9">
        <v>5</v>
      </c>
      <c r="P104" s="9">
        <v>10</v>
      </c>
      <c r="Q104" s="9">
        <v>10</v>
      </c>
      <c r="R104" s="9">
        <v>24</v>
      </c>
      <c r="S104" s="9">
        <v>24</v>
      </c>
      <c r="T104" s="10">
        <v>48</v>
      </c>
    </row>
    <row r="105" spans="11:20">
      <c r="K105" s="23" t="s">
        <v>68</v>
      </c>
      <c r="L105" s="9">
        <v>1</v>
      </c>
      <c r="M105" s="9">
        <v>1</v>
      </c>
      <c r="N105" s="9">
        <v>1</v>
      </c>
      <c r="O105" s="9">
        <v>1</v>
      </c>
      <c r="P105" s="9">
        <v>1</v>
      </c>
      <c r="Q105" s="9">
        <v>1</v>
      </c>
      <c r="R105" s="9">
        <v>3</v>
      </c>
      <c r="S105" s="9">
        <v>3</v>
      </c>
      <c r="T105" s="10">
        <v>6</v>
      </c>
    </row>
    <row r="106" spans="11:20">
      <c r="K106" s="23" t="s">
        <v>42</v>
      </c>
      <c r="L106" s="9">
        <v>1</v>
      </c>
      <c r="M106" s="9">
        <v>1</v>
      </c>
      <c r="N106" s="9">
        <v>0</v>
      </c>
      <c r="O106" s="9">
        <v>0</v>
      </c>
      <c r="P106" s="9">
        <v>1</v>
      </c>
      <c r="Q106" s="9">
        <v>1</v>
      </c>
      <c r="R106" s="9">
        <v>2</v>
      </c>
      <c r="S106" s="9">
        <v>2</v>
      </c>
      <c r="T106" s="10">
        <v>4</v>
      </c>
    </row>
    <row r="107" spans="11:20" ht="17.5" thickBot="1">
      <c r="K107" s="24" t="s">
        <v>11</v>
      </c>
      <c r="L107" s="29">
        <v>738</v>
      </c>
      <c r="M107" s="29">
        <v>738</v>
      </c>
      <c r="N107" s="29">
        <v>404</v>
      </c>
      <c r="O107" s="29">
        <v>404</v>
      </c>
      <c r="P107" s="29">
        <v>800</v>
      </c>
      <c r="Q107" s="29">
        <v>800</v>
      </c>
      <c r="R107" s="30">
        <v>1942</v>
      </c>
      <c r="S107" s="30">
        <v>1942</v>
      </c>
      <c r="T107" s="31">
        <v>3884</v>
      </c>
    </row>
    <row r="108" spans="11:20" ht="17.5" thickTop="1"/>
  </sheetData>
  <mergeCells count="112">
    <mergeCell ref="M60:M61"/>
    <mergeCell ref="C83:D83"/>
    <mergeCell ref="C84:D84"/>
    <mergeCell ref="C85:D85"/>
    <mergeCell ref="C72:D72"/>
    <mergeCell ref="M72:N72"/>
    <mergeCell ref="M73:N73"/>
    <mergeCell ref="M74:N74"/>
    <mergeCell ref="M75:N75"/>
    <mergeCell ref="M76:N76"/>
    <mergeCell ref="M77:N77"/>
    <mergeCell ref="M83:N83"/>
    <mergeCell ref="M84:N84"/>
    <mergeCell ref="M78:N78"/>
    <mergeCell ref="M85:N85"/>
    <mergeCell ref="C74:D74"/>
    <mergeCell ref="C75:D75"/>
    <mergeCell ref="C76:D76"/>
    <mergeCell ref="C77:D77"/>
    <mergeCell ref="C78:D78"/>
    <mergeCell ref="C73:D73"/>
    <mergeCell ref="L62:M63"/>
    <mergeCell ref="B52:C53"/>
    <mergeCell ref="B43:C43"/>
    <mergeCell ref="B54:C55"/>
    <mergeCell ref="B46:C47"/>
    <mergeCell ref="B44:C45"/>
    <mergeCell ref="B48:C49"/>
    <mergeCell ref="B50:C51"/>
    <mergeCell ref="L64:M65"/>
    <mergeCell ref="B62:C63"/>
    <mergeCell ref="B64:C65"/>
    <mergeCell ref="C58:C59"/>
    <mergeCell ref="C56:C57"/>
    <mergeCell ref="C60:C61"/>
    <mergeCell ref="B56:B61"/>
    <mergeCell ref="L43:M43"/>
    <mergeCell ref="L44:M45"/>
    <mergeCell ref="L46:M47"/>
    <mergeCell ref="L48:M49"/>
    <mergeCell ref="L50:M51"/>
    <mergeCell ref="L52:M53"/>
    <mergeCell ref="L54:M55"/>
    <mergeCell ref="L56:L61"/>
    <mergeCell ref="M56:M57"/>
    <mergeCell ref="M58:M59"/>
    <mergeCell ref="A20:B20"/>
    <mergeCell ref="A21:B21"/>
    <mergeCell ref="A25:B27"/>
    <mergeCell ref="D25:I25"/>
    <mergeCell ref="D26:F26"/>
    <mergeCell ref="G26:I26"/>
    <mergeCell ref="S6:T6"/>
    <mergeCell ref="S7:S10"/>
    <mergeCell ref="S11:S12"/>
    <mergeCell ref="S13:S14"/>
    <mergeCell ref="A19:B19"/>
    <mergeCell ref="A6:B8"/>
    <mergeCell ref="D6:E6"/>
    <mergeCell ref="D7:E7"/>
    <mergeCell ref="F6:H6"/>
    <mergeCell ref="F7:H7"/>
    <mergeCell ref="A9:B9"/>
    <mergeCell ref="A10:B10"/>
    <mergeCell ref="A11:B11"/>
    <mergeCell ref="A12:B12"/>
    <mergeCell ref="A13:B13"/>
    <mergeCell ref="A14:B14"/>
    <mergeCell ref="K25:L27"/>
    <mergeCell ref="S15:S16"/>
    <mergeCell ref="R89:T89"/>
    <mergeCell ref="K89:K90"/>
    <mergeCell ref="L89:M89"/>
    <mergeCell ref="N89:O89"/>
    <mergeCell ref="P89:Q89"/>
    <mergeCell ref="A38:B38"/>
    <mergeCell ref="A39:B39"/>
    <mergeCell ref="A40:B40"/>
    <mergeCell ref="A28:B28"/>
    <mergeCell ref="A29:B29"/>
    <mergeCell ref="A30:B30"/>
    <mergeCell ref="A31:B31"/>
    <mergeCell ref="A32:B32"/>
    <mergeCell ref="A33:B33"/>
    <mergeCell ref="E44:I45"/>
    <mergeCell ref="O44:R45"/>
    <mergeCell ref="K28:L28"/>
    <mergeCell ref="K29:L29"/>
    <mergeCell ref="K30:L30"/>
    <mergeCell ref="K31:L31"/>
    <mergeCell ref="K32:L32"/>
    <mergeCell ref="K33:L33"/>
    <mergeCell ref="K38:L38"/>
    <mergeCell ref="K39:L39"/>
    <mergeCell ref="K40:L40"/>
    <mergeCell ref="AF7:AG9"/>
    <mergeCell ref="AI7:AN7"/>
    <mergeCell ref="AI8:AK8"/>
    <mergeCell ref="AL8:AN8"/>
    <mergeCell ref="AF10:AG10"/>
    <mergeCell ref="AF11:AG11"/>
    <mergeCell ref="AF12:AG12"/>
    <mergeCell ref="AF13:AG13"/>
    <mergeCell ref="AF14:AG14"/>
    <mergeCell ref="AF15:AG15"/>
    <mergeCell ref="AF20:AG20"/>
    <mergeCell ref="AF21:AG21"/>
    <mergeCell ref="AF22:AG22"/>
    <mergeCell ref="S17:S18"/>
    <mergeCell ref="N25:S25"/>
    <mergeCell ref="N26:P26"/>
    <mergeCell ref="Q26:S26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109"/>
  <sheetViews>
    <sheetView zoomScale="85" zoomScaleNormal="85" workbookViewId="0">
      <selection activeCell="AA46" sqref="AA46"/>
    </sheetView>
  </sheetViews>
  <sheetFormatPr defaultRowHeight="17"/>
  <cols>
    <col min="20" max="20" width="11.5" customWidth="1"/>
  </cols>
  <sheetData>
    <row r="1" spans="1:8">
      <c r="A1" t="s">
        <v>154</v>
      </c>
    </row>
    <row r="2" spans="1:8">
      <c r="A2" t="s">
        <v>153</v>
      </c>
      <c r="B2" t="s">
        <v>152</v>
      </c>
    </row>
    <row r="4" spans="1:8">
      <c r="B4" t="s">
        <v>192</v>
      </c>
      <c r="G4" t="s">
        <v>194</v>
      </c>
    </row>
    <row r="5" spans="1:8" ht="17.5" thickBot="1">
      <c r="B5" t="s">
        <v>172</v>
      </c>
      <c r="G5" t="s">
        <v>193</v>
      </c>
    </row>
    <row r="6" spans="1:8" ht="17.5" thickTop="1">
      <c r="B6" s="543" t="s">
        <v>39</v>
      </c>
      <c r="C6" s="544"/>
      <c r="D6" s="547" t="s">
        <v>163</v>
      </c>
      <c r="E6" s="548"/>
      <c r="G6" s="32" t="s">
        <v>189</v>
      </c>
    </row>
    <row r="7" spans="1:8" ht="17.5" thickBot="1">
      <c r="B7" s="545"/>
      <c r="C7" s="546"/>
      <c r="D7" s="36" t="s">
        <v>156</v>
      </c>
      <c r="E7" s="37" t="s">
        <v>157</v>
      </c>
      <c r="H7" t="s">
        <v>191</v>
      </c>
    </row>
    <row r="8" spans="1:8" ht="17.5" thickTop="1">
      <c r="B8" s="549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</row>
    <row r="9" spans="1:8">
      <c r="B9" s="536"/>
      <c r="C9" s="46" t="s">
        <v>166</v>
      </c>
      <c r="D9" s="46">
        <v>1.59</v>
      </c>
      <c r="E9" s="47">
        <v>1.7</v>
      </c>
    </row>
    <row r="10" spans="1:8">
      <c r="B10" s="535" t="s">
        <v>13</v>
      </c>
      <c r="C10" s="46" t="s">
        <v>9</v>
      </c>
      <c r="D10" s="46">
        <v>1.38</v>
      </c>
      <c r="E10" s="47">
        <v>1.48</v>
      </c>
    </row>
    <row r="11" spans="1:8">
      <c r="B11" s="536"/>
      <c r="C11" s="46" t="s">
        <v>10</v>
      </c>
      <c r="D11" s="46">
        <v>1.6</v>
      </c>
      <c r="E11" s="47">
        <v>1.56</v>
      </c>
    </row>
    <row r="12" spans="1:8">
      <c r="B12" s="535" t="s">
        <v>167</v>
      </c>
      <c r="C12" s="46" t="s">
        <v>9</v>
      </c>
      <c r="D12" s="46">
        <v>1.25</v>
      </c>
      <c r="E12" s="47">
        <v>1.25</v>
      </c>
    </row>
    <row r="13" spans="1:8">
      <c r="B13" s="536"/>
      <c r="C13" s="46" t="s">
        <v>10</v>
      </c>
      <c r="D13" s="46">
        <v>1.47</v>
      </c>
      <c r="E13" s="47">
        <v>1.73</v>
      </c>
    </row>
    <row r="14" spans="1:8">
      <c r="B14" s="535" t="s">
        <v>168</v>
      </c>
      <c r="C14" s="46" t="s">
        <v>9</v>
      </c>
      <c r="D14" s="46">
        <v>1.35</v>
      </c>
      <c r="E14" s="47">
        <v>1.4</v>
      </c>
    </row>
    <row r="15" spans="1:8">
      <c r="B15" s="536"/>
      <c r="C15" s="46" t="s">
        <v>10</v>
      </c>
      <c r="D15" s="46">
        <v>1.6</v>
      </c>
      <c r="E15" s="47">
        <v>1.73</v>
      </c>
    </row>
    <row r="16" spans="1:8">
      <c r="B16" s="535" t="s">
        <v>47</v>
      </c>
      <c r="C16" s="46" t="s">
        <v>9</v>
      </c>
      <c r="D16" s="46">
        <v>1.33</v>
      </c>
      <c r="E16" s="47">
        <v>1.55</v>
      </c>
    </row>
    <row r="17" spans="1:29">
      <c r="B17" s="536"/>
      <c r="C17" s="46" t="s">
        <v>10</v>
      </c>
      <c r="D17" s="46">
        <v>1.43</v>
      </c>
      <c r="E17" s="47">
        <v>1.54</v>
      </c>
    </row>
    <row r="18" spans="1:29">
      <c r="B18" s="535" t="s">
        <v>169</v>
      </c>
      <c r="C18" s="46" t="s">
        <v>9</v>
      </c>
      <c r="D18" s="46">
        <v>1.33</v>
      </c>
      <c r="E18" s="47">
        <v>1.55</v>
      </c>
    </row>
    <row r="19" spans="1:29">
      <c r="B19" s="536"/>
      <c r="C19" s="46" t="s">
        <v>10</v>
      </c>
      <c r="D19" s="46">
        <v>1.43</v>
      </c>
      <c r="E19" s="47">
        <v>1.54</v>
      </c>
    </row>
    <row r="20" spans="1:29">
      <c r="B20" s="535" t="s">
        <v>170</v>
      </c>
      <c r="C20" s="46" t="s">
        <v>9</v>
      </c>
      <c r="D20" s="46">
        <v>1.33</v>
      </c>
      <c r="E20" s="47">
        <v>1.55</v>
      </c>
    </row>
    <row r="21" spans="1:29">
      <c r="B21" s="536"/>
      <c r="C21" s="46" t="s">
        <v>10</v>
      </c>
      <c r="D21" s="46">
        <v>1.43</v>
      </c>
      <c r="E21" s="47">
        <v>1.54</v>
      </c>
    </row>
    <row r="22" spans="1:29">
      <c r="B22" s="535" t="s">
        <v>171</v>
      </c>
      <c r="C22" s="46" t="s">
        <v>9</v>
      </c>
      <c r="D22" s="46">
        <v>1.27</v>
      </c>
      <c r="E22" s="47">
        <v>1.35</v>
      </c>
      <c r="U22" s="34"/>
      <c r="V22" t="s">
        <v>233</v>
      </c>
    </row>
    <row r="23" spans="1:29" ht="17.5" thickBot="1">
      <c r="B23" s="537"/>
      <c r="C23" s="48" t="s">
        <v>10</v>
      </c>
      <c r="D23" s="48">
        <v>1.27</v>
      </c>
      <c r="E23" s="49">
        <v>1.35</v>
      </c>
    </row>
    <row r="24" spans="1:29" ht="17.5" thickTop="1">
      <c r="A24" t="s">
        <v>214</v>
      </c>
      <c r="B24" s="56"/>
      <c r="C24" s="56"/>
      <c r="D24" s="56"/>
      <c r="E24" s="56"/>
      <c r="P24" t="s">
        <v>213</v>
      </c>
    </row>
    <row r="25" spans="1:29">
      <c r="A25" t="s">
        <v>195</v>
      </c>
      <c r="L25" s="64" t="s">
        <v>196</v>
      </c>
      <c r="O25" t="s">
        <v>215</v>
      </c>
      <c r="P25" t="s">
        <v>212</v>
      </c>
    </row>
    <row r="26" spans="1:29">
      <c r="AA26" t="s">
        <v>216</v>
      </c>
      <c r="AB26" t="s">
        <v>148</v>
      </c>
      <c r="AC26" s="32" t="s">
        <v>74</v>
      </c>
    </row>
    <row r="27" spans="1:29">
      <c r="C27" s="550" t="s">
        <v>156</v>
      </c>
      <c r="D27" s="551"/>
      <c r="E27" s="550" t="s">
        <v>157</v>
      </c>
      <c r="F27" s="551"/>
      <c r="G27" s="550" t="s">
        <v>158</v>
      </c>
      <c r="H27" s="551"/>
      <c r="I27" s="550" t="s">
        <v>159</v>
      </c>
      <c r="J27" s="551"/>
      <c r="K27" s="550" t="s">
        <v>160</v>
      </c>
      <c r="L27" s="552"/>
      <c r="M27" s="552"/>
      <c r="P27" s="654" t="s">
        <v>156</v>
      </c>
      <c r="Q27" s="654"/>
      <c r="R27" s="654" t="s">
        <v>174</v>
      </c>
      <c r="S27" s="654"/>
      <c r="T27" s="550" t="s">
        <v>158</v>
      </c>
      <c r="U27" s="551"/>
      <c r="V27" s="654" t="s">
        <v>160</v>
      </c>
      <c r="W27" s="654"/>
      <c r="X27" s="654"/>
      <c r="AA27" t="s">
        <v>202</v>
      </c>
      <c r="AB27" t="s">
        <v>73</v>
      </c>
      <c r="AC27" s="75">
        <v>14267.0414</v>
      </c>
    </row>
    <row r="28" spans="1:29">
      <c r="A28" t="s">
        <v>34</v>
      </c>
      <c r="B28" t="s">
        <v>148</v>
      </c>
      <c r="C28" s="66" t="s">
        <v>40</v>
      </c>
      <c r="D28" s="66" t="s">
        <v>41</v>
      </c>
      <c r="E28" s="66" t="s">
        <v>40</v>
      </c>
      <c r="F28" s="66" t="s">
        <v>41</v>
      </c>
      <c r="G28" s="66" t="s">
        <v>40</v>
      </c>
      <c r="H28" s="66" t="s">
        <v>41</v>
      </c>
      <c r="I28" s="66" t="s">
        <v>40</v>
      </c>
      <c r="J28" s="66" t="s">
        <v>41</v>
      </c>
      <c r="K28" s="66" t="s">
        <v>40</v>
      </c>
      <c r="L28" s="66" t="s">
        <v>41</v>
      </c>
      <c r="M28" s="67" t="s">
        <v>21</v>
      </c>
      <c r="P28" s="73" t="s">
        <v>40</v>
      </c>
      <c r="Q28" s="73" t="s">
        <v>41</v>
      </c>
      <c r="R28" s="73" t="s">
        <v>40</v>
      </c>
      <c r="S28" s="73" t="s">
        <v>41</v>
      </c>
      <c r="T28" s="66" t="s">
        <v>40</v>
      </c>
      <c r="U28" s="66" t="s">
        <v>41</v>
      </c>
      <c r="V28" s="73" t="s">
        <v>40</v>
      </c>
      <c r="W28" s="73" t="s">
        <v>41</v>
      </c>
      <c r="X28" s="73" t="s">
        <v>21</v>
      </c>
      <c r="AA28" t="s">
        <v>202</v>
      </c>
      <c r="AB28" t="s">
        <v>217</v>
      </c>
      <c r="AC28" s="75">
        <v>15857.7047</v>
      </c>
    </row>
    <row r="29" spans="1:29">
      <c r="A29" t="s">
        <v>197</v>
      </c>
      <c r="B29" t="s">
        <v>198</v>
      </c>
      <c r="C29" s="70">
        <v>998</v>
      </c>
      <c r="D29" s="70">
        <v>998</v>
      </c>
      <c r="E29" s="70">
        <v>222</v>
      </c>
      <c r="F29" s="70">
        <v>222</v>
      </c>
      <c r="G29" s="71">
        <v>1429</v>
      </c>
      <c r="H29" s="71">
        <v>1429</v>
      </c>
      <c r="I29" s="70">
        <v>870</v>
      </c>
      <c r="J29" s="70">
        <v>870</v>
      </c>
      <c r="K29" s="71">
        <v>3519</v>
      </c>
      <c r="L29" s="71">
        <v>3519</v>
      </c>
      <c r="M29" s="71">
        <v>7038</v>
      </c>
      <c r="P29" s="69">
        <v>629</v>
      </c>
      <c r="Q29" s="69">
        <v>629</v>
      </c>
      <c r="R29" s="69">
        <v>178</v>
      </c>
      <c r="S29" s="69">
        <v>178</v>
      </c>
      <c r="T29" s="74">
        <f>G29/$H$8</f>
        <v>123.40241796200345</v>
      </c>
      <c r="U29" s="74">
        <f t="shared" ref="U29:U33" si="0">H29/$H$8</f>
        <v>123.40241796200345</v>
      </c>
      <c r="V29" s="69">
        <v>807</v>
      </c>
      <c r="W29" s="69">
        <v>807</v>
      </c>
      <c r="X29" s="68">
        <v>1614</v>
      </c>
      <c r="AA29" t="s">
        <v>218</v>
      </c>
      <c r="AB29" t="s">
        <v>75</v>
      </c>
      <c r="AC29" s="75">
        <v>38657.855799999998</v>
      </c>
    </row>
    <row r="30" spans="1:29">
      <c r="A30" s="56" t="s">
        <v>197</v>
      </c>
      <c r="B30" s="20" t="s">
        <v>199</v>
      </c>
      <c r="C30" s="70">
        <v>992</v>
      </c>
      <c r="D30" s="70">
        <v>992</v>
      </c>
      <c r="E30" s="70">
        <v>221</v>
      </c>
      <c r="F30" s="70">
        <v>221</v>
      </c>
      <c r="G30" s="71">
        <v>1420</v>
      </c>
      <c r="H30" s="71">
        <v>1420</v>
      </c>
      <c r="I30" s="70">
        <v>865</v>
      </c>
      <c r="J30" s="70">
        <v>865</v>
      </c>
      <c r="K30" s="71">
        <v>3498</v>
      </c>
      <c r="L30" s="71">
        <v>3498</v>
      </c>
      <c r="M30" s="71">
        <v>6996</v>
      </c>
      <c r="P30" s="69">
        <v>624</v>
      </c>
      <c r="Q30" s="69">
        <v>624</v>
      </c>
      <c r="R30" s="69">
        <v>177</v>
      </c>
      <c r="S30" s="69">
        <v>177</v>
      </c>
      <c r="T30" s="74">
        <f t="shared" ref="T30:T33" si="1">G30/$H$8</f>
        <v>122.6252158894646</v>
      </c>
      <c r="U30" s="74">
        <f t="shared" si="0"/>
        <v>122.6252158894646</v>
      </c>
      <c r="V30" s="69">
        <v>801</v>
      </c>
      <c r="W30" s="69">
        <v>801</v>
      </c>
      <c r="X30" s="68">
        <v>1602</v>
      </c>
      <c r="AA30" t="s">
        <v>219</v>
      </c>
      <c r="AB30" t="s">
        <v>76</v>
      </c>
      <c r="AC30" s="75">
        <v>38408.5</v>
      </c>
    </row>
    <row r="31" spans="1:29">
      <c r="A31" t="s">
        <v>197</v>
      </c>
      <c r="B31" t="s">
        <v>200</v>
      </c>
      <c r="C31" s="70">
        <v>813</v>
      </c>
      <c r="D31" s="70">
        <v>813</v>
      </c>
      <c r="E31" s="70">
        <v>181</v>
      </c>
      <c r="F31" s="70">
        <v>181</v>
      </c>
      <c r="G31" s="71">
        <v>1164</v>
      </c>
      <c r="H31" s="71">
        <v>1164</v>
      </c>
      <c r="I31" s="70">
        <v>708</v>
      </c>
      <c r="J31" s="70">
        <v>708</v>
      </c>
      <c r="K31" s="71">
        <v>2866</v>
      </c>
      <c r="L31" s="71">
        <v>2866</v>
      </c>
      <c r="M31" s="71">
        <v>5732</v>
      </c>
      <c r="P31" s="69">
        <v>512</v>
      </c>
      <c r="Q31" s="69">
        <v>512</v>
      </c>
      <c r="R31" s="69">
        <v>144</v>
      </c>
      <c r="S31" s="69">
        <v>144</v>
      </c>
      <c r="T31" s="74">
        <f t="shared" si="1"/>
        <v>100.51813471502591</v>
      </c>
      <c r="U31" s="74">
        <f t="shared" si="0"/>
        <v>100.51813471502591</v>
      </c>
      <c r="V31" s="69">
        <v>656</v>
      </c>
      <c r="W31" s="69">
        <v>656</v>
      </c>
      <c r="X31" s="68">
        <v>1312</v>
      </c>
      <c r="AA31" t="s">
        <v>219</v>
      </c>
      <c r="AB31" t="s">
        <v>220</v>
      </c>
      <c r="AC31" s="75">
        <v>31514.0893</v>
      </c>
    </row>
    <row r="32" spans="1:29">
      <c r="A32" t="s">
        <v>197</v>
      </c>
      <c r="B32" t="s">
        <v>201</v>
      </c>
      <c r="C32" s="69">
        <v>829</v>
      </c>
      <c r="D32" s="69">
        <v>829</v>
      </c>
      <c r="E32" s="69">
        <v>185</v>
      </c>
      <c r="F32" s="69">
        <v>185</v>
      </c>
      <c r="G32" s="68">
        <v>1187</v>
      </c>
      <c r="H32" s="68">
        <v>1187</v>
      </c>
      <c r="I32" s="69">
        <v>722</v>
      </c>
      <c r="J32" s="69">
        <v>722</v>
      </c>
      <c r="K32" s="68">
        <v>2923</v>
      </c>
      <c r="L32" s="68">
        <v>2923</v>
      </c>
      <c r="M32" s="68">
        <v>5846</v>
      </c>
      <c r="P32" s="69">
        <v>521</v>
      </c>
      <c r="Q32" s="69">
        <v>521</v>
      </c>
      <c r="R32" s="69">
        <v>149</v>
      </c>
      <c r="S32" s="69">
        <v>149</v>
      </c>
      <c r="T32" s="74">
        <f t="shared" si="1"/>
        <v>102.50431778929187</v>
      </c>
      <c r="U32" s="74">
        <f t="shared" si="0"/>
        <v>102.50431778929187</v>
      </c>
      <c r="V32" s="69">
        <v>670</v>
      </c>
      <c r="W32" s="69">
        <v>670</v>
      </c>
      <c r="X32" s="68">
        <v>1340</v>
      </c>
      <c r="AA32" t="s">
        <v>219</v>
      </c>
      <c r="AB32" t="s">
        <v>221</v>
      </c>
      <c r="AC32" s="75">
        <v>32098.9882</v>
      </c>
    </row>
    <row r="33" spans="1:40">
      <c r="A33" t="s">
        <v>202</v>
      </c>
      <c r="C33" s="69">
        <v>104</v>
      </c>
      <c r="D33" s="69">
        <v>104</v>
      </c>
      <c r="E33" s="69">
        <v>22</v>
      </c>
      <c r="F33" s="69">
        <v>22</v>
      </c>
      <c r="G33" s="69">
        <v>146</v>
      </c>
      <c r="H33" s="69">
        <v>146</v>
      </c>
      <c r="I33" s="69">
        <v>90</v>
      </c>
      <c r="J33" s="69">
        <v>90</v>
      </c>
      <c r="K33" s="69">
        <v>362</v>
      </c>
      <c r="L33" s="69">
        <v>362</v>
      </c>
      <c r="M33" s="69">
        <v>724</v>
      </c>
      <c r="P33" s="69">
        <v>64</v>
      </c>
      <c r="Q33" s="69">
        <v>64</v>
      </c>
      <c r="R33" s="69">
        <v>18</v>
      </c>
      <c r="S33" s="69">
        <v>18</v>
      </c>
      <c r="T33" s="74">
        <f t="shared" si="1"/>
        <v>12.607944732297064</v>
      </c>
      <c r="U33" s="74">
        <f t="shared" si="0"/>
        <v>12.607944732297064</v>
      </c>
      <c r="V33" s="69">
        <v>82</v>
      </c>
      <c r="W33" s="69">
        <v>82</v>
      </c>
      <c r="X33" s="69">
        <v>164</v>
      </c>
      <c r="AA33" t="s">
        <v>207</v>
      </c>
      <c r="AB33" t="s">
        <v>222</v>
      </c>
      <c r="AC33" s="75">
        <v>63163.374600000003</v>
      </c>
    </row>
    <row r="34" spans="1:40">
      <c r="AA34" t="s">
        <v>207</v>
      </c>
      <c r="AB34" t="s">
        <v>79</v>
      </c>
      <c r="AC34" s="75">
        <v>36231.236499999999</v>
      </c>
    </row>
    <row r="35" spans="1:40">
      <c r="A35" t="s">
        <v>203</v>
      </c>
      <c r="L35" s="65" t="s">
        <v>204</v>
      </c>
      <c r="AA35" t="s">
        <v>207</v>
      </c>
      <c r="AB35" t="s">
        <v>223</v>
      </c>
      <c r="AC35" s="75">
        <v>69072.016600000003</v>
      </c>
    </row>
    <row r="36" spans="1:40">
      <c r="C36" s="550" t="s">
        <v>156</v>
      </c>
      <c r="D36" s="551"/>
      <c r="E36" s="550" t="s">
        <v>157</v>
      </c>
      <c r="F36" s="551"/>
      <c r="G36" s="550" t="s">
        <v>158</v>
      </c>
      <c r="H36" s="551"/>
      <c r="I36" s="550" t="s">
        <v>159</v>
      </c>
      <c r="J36" s="551"/>
      <c r="K36" s="550" t="s">
        <v>160</v>
      </c>
      <c r="L36" s="552"/>
      <c r="M36" s="552"/>
      <c r="P36" s="534" t="s">
        <v>156</v>
      </c>
      <c r="Q36" s="534"/>
      <c r="R36" s="534" t="s">
        <v>174</v>
      </c>
      <c r="S36" s="534"/>
      <c r="T36" s="550" t="s">
        <v>158</v>
      </c>
      <c r="U36" s="551"/>
      <c r="V36" s="534" t="s">
        <v>160</v>
      </c>
      <c r="W36" s="534"/>
      <c r="X36" s="534"/>
      <c r="AA36" t="s">
        <v>224</v>
      </c>
      <c r="AB36" t="s">
        <v>85</v>
      </c>
      <c r="AC36" s="75">
        <v>4861.8494000000001</v>
      </c>
    </row>
    <row r="37" spans="1:40">
      <c r="A37" t="s">
        <v>205</v>
      </c>
      <c r="C37" s="66" t="s">
        <v>40</v>
      </c>
      <c r="D37" s="66" t="s">
        <v>41</v>
      </c>
      <c r="E37" s="66" t="s">
        <v>40</v>
      </c>
      <c r="F37" s="66" t="s">
        <v>41</v>
      </c>
      <c r="G37" s="66" t="s">
        <v>40</v>
      </c>
      <c r="H37" s="66" t="s">
        <v>41</v>
      </c>
      <c r="I37" s="66" t="s">
        <v>40</v>
      </c>
      <c r="J37" s="66" t="s">
        <v>41</v>
      </c>
      <c r="K37" s="66" t="s">
        <v>40</v>
      </c>
      <c r="L37" s="66" t="s">
        <v>41</v>
      </c>
      <c r="M37" s="67" t="s">
        <v>21</v>
      </c>
      <c r="P37" s="72" t="s">
        <v>40</v>
      </c>
      <c r="Q37" s="72" t="s">
        <v>41</v>
      </c>
      <c r="R37" s="72" t="s">
        <v>40</v>
      </c>
      <c r="S37" s="72" t="s">
        <v>41</v>
      </c>
      <c r="T37" s="66" t="s">
        <v>40</v>
      </c>
      <c r="U37" s="66" t="s">
        <v>41</v>
      </c>
      <c r="V37" s="72" t="s">
        <v>40</v>
      </c>
      <c r="W37" s="72" t="s">
        <v>41</v>
      </c>
      <c r="X37" s="72" t="s">
        <v>21</v>
      </c>
      <c r="AA37" t="s">
        <v>224</v>
      </c>
      <c r="AB37" t="s">
        <v>81</v>
      </c>
      <c r="AC37" s="75">
        <v>2430.8498</v>
      </c>
    </row>
    <row r="38" spans="1:40">
      <c r="A38" t="s">
        <v>136</v>
      </c>
      <c r="C38" s="68">
        <v>1113</v>
      </c>
      <c r="D38" s="68">
        <v>1113</v>
      </c>
      <c r="E38" s="69">
        <v>149</v>
      </c>
      <c r="F38" s="69">
        <v>149</v>
      </c>
      <c r="G38" s="69">
        <v>902</v>
      </c>
      <c r="H38" s="69">
        <v>902</v>
      </c>
      <c r="I38" s="68">
        <v>1831</v>
      </c>
      <c r="J38" s="68">
        <v>1831</v>
      </c>
      <c r="K38" s="68">
        <v>3995</v>
      </c>
      <c r="L38" s="68">
        <v>3995</v>
      </c>
      <c r="M38" s="68">
        <v>7990</v>
      </c>
      <c r="P38" s="69">
        <v>704</v>
      </c>
      <c r="Q38" s="69">
        <v>704</v>
      </c>
      <c r="R38" s="69">
        <v>105</v>
      </c>
      <c r="S38" s="69">
        <v>105</v>
      </c>
      <c r="T38" s="74">
        <f t="shared" ref="T38:T44" si="2">G38/$H$8</f>
        <v>77.89291882556131</v>
      </c>
      <c r="U38" s="74">
        <f t="shared" ref="U38:U44" si="3">H38/$H$8</f>
        <v>77.89291882556131</v>
      </c>
      <c r="V38" s="69">
        <v>809</v>
      </c>
      <c r="W38" s="69">
        <v>809</v>
      </c>
      <c r="X38" s="68">
        <v>1618</v>
      </c>
      <c r="AA38" t="s">
        <v>224</v>
      </c>
      <c r="AB38" t="s">
        <v>82</v>
      </c>
      <c r="AC38" s="75">
        <v>2252.9902000000002</v>
      </c>
    </row>
    <row r="39" spans="1:40">
      <c r="A39" t="s">
        <v>206</v>
      </c>
      <c r="C39" s="68">
        <v>3252</v>
      </c>
      <c r="D39" s="68">
        <v>3252</v>
      </c>
      <c r="E39" s="69">
        <v>634</v>
      </c>
      <c r="F39" s="69">
        <v>634</v>
      </c>
      <c r="G39" s="68">
        <v>4005</v>
      </c>
      <c r="H39" s="68">
        <v>4005</v>
      </c>
      <c r="I39" s="68">
        <v>1525</v>
      </c>
      <c r="J39" s="68">
        <v>1525</v>
      </c>
      <c r="K39" s="68">
        <v>9416</v>
      </c>
      <c r="L39" s="68">
        <v>9416</v>
      </c>
      <c r="M39" s="68">
        <v>18832</v>
      </c>
      <c r="P39" s="68">
        <v>2258</v>
      </c>
      <c r="Q39" s="68">
        <v>2258</v>
      </c>
      <c r="R39" s="69">
        <v>459</v>
      </c>
      <c r="S39" s="69">
        <v>459</v>
      </c>
      <c r="T39" s="74">
        <f t="shared" si="2"/>
        <v>345.85492227979273</v>
      </c>
      <c r="U39" s="74">
        <f t="shared" si="3"/>
        <v>345.85492227979273</v>
      </c>
      <c r="V39" s="68">
        <v>2717</v>
      </c>
      <c r="W39" s="68">
        <v>2717</v>
      </c>
      <c r="X39" s="68">
        <v>5434</v>
      </c>
      <c r="AA39" t="s">
        <v>228</v>
      </c>
      <c r="AB39" t="s">
        <v>225</v>
      </c>
      <c r="AC39" s="75">
        <v>5756.5210999999999</v>
      </c>
    </row>
    <row r="40" spans="1:40">
      <c r="A40" t="s">
        <v>207</v>
      </c>
      <c r="C40" s="68">
        <v>4405</v>
      </c>
      <c r="D40" s="68">
        <v>4405</v>
      </c>
      <c r="E40" s="69">
        <v>982</v>
      </c>
      <c r="F40" s="69">
        <v>982</v>
      </c>
      <c r="G40" s="68">
        <v>7338</v>
      </c>
      <c r="H40" s="68">
        <v>7338</v>
      </c>
      <c r="I40" s="68">
        <v>1053</v>
      </c>
      <c r="J40" s="68">
        <v>1053</v>
      </c>
      <c r="K40" s="68">
        <v>13778</v>
      </c>
      <c r="L40" s="68">
        <v>13778</v>
      </c>
      <c r="M40" s="68">
        <v>27556</v>
      </c>
      <c r="P40" s="68">
        <v>2942</v>
      </c>
      <c r="Q40" s="68">
        <v>2942</v>
      </c>
      <c r="R40" s="69">
        <v>905</v>
      </c>
      <c r="S40" s="69">
        <v>905</v>
      </c>
      <c r="T40" s="74">
        <f t="shared" si="2"/>
        <v>633.67875647668393</v>
      </c>
      <c r="U40" s="74">
        <f t="shared" si="3"/>
        <v>633.67875647668393</v>
      </c>
      <c r="V40" s="68">
        <v>3847</v>
      </c>
      <c r="W40" s="68">
        <v>3847</v>
      </c>
      <c r="X40" s="68">
        <v>7694</v>
      </c>
      <c r="AA40" t="s">
        <v>228</v>
      </c>
      <c r="AB40" t="s">
        <v>226</v>
      </c>
      <c r="AC40" s="75">
        <v>5584.9350000000004</v>
      </c>
    </row>
    <row r="41" spans="1:40">
      <c r="A41" t="s">
        <v>208</v>
      </c>
      <c r="C41" s="68">
        <v>1194</v>
      </c>
      <c r="D41" s="68">
        <v>1194</v>
      </c>
      <c r="E41" s="69">
        <v>324</v>
      </c>
      <c r="F41" s="69">
        <v>324</v>
      </c>
      <c r="G41" s="68">
        <v>1204</v>
      </c>
      <c r="H41" s="68">
        <v>1204</v>
      </c>
      <c r="I41" s="69">
        <v>676</v>
      </c>
      <c r="J41" s="69">
        <v>676</v>
      </c>
      <c r="K41" s="68">
        <v>3398</v>
      </c>
      <c r="L41" s="68">
        <v>3398</v>
      </c>
      <c r="M41" s="68">
        <v>6796</v>
      </c>
      <c r="P41" s="69">
        <v>852</v>
      </c>
      <c r="Q41" s="69">
        <v>852</v>
      </c>
      <c r="R41" s="69">
        <v>278</v>
      </c>
      <c r="S41" s="69">
        <v>278</v>
      </c>
      <c r="T41" s="74">
        <f t="shared" si="2"/>
        <v>103.97236614853195</v>
      </c>
      <c r="U41" s="74">
        <f t="shared" si="3"/>
        <v>103.97236614853195</v>
      </c>
      <c r="V41" s="68">
        <v>1130</v>
      </c>
      <c r="W41" s="68">
        <v>1130</v>
      </c>
      <c r="X41" s="68">
        <v>2260</v>
      </c>
      <c r="AA41" t="s">
        <v>228</v>
      </c>
      <c r="AB41" t="s">
        <v>227</v>
      </c>
      <c r="AC41" s="75">
        <v>5424.4053999999996</v>
      </c>
      <c r="AK41" s="447" t="s">
        <v>279</v>
      </c>
      <c r="AL41" s="447"/>
      <c r="AM41" s="447"/>
      <c r="AN41" s="447"/>
    </row>
    <row r="42" spans="1:40">
      <c r="A42" t="s">
        <v>209</v>
      </c>
      <c r="C42" s="68">
        <v>2353</v>
      </c>
      <c r="D42" s="68">
        <v>2353</v>
      </c>
      <c r="E42" s="69">
        <v>560</v>
      </c>
      <c r="F42" s="69">
        <v>560</v>
      </c>
      <c r="G42" s="68">
        <v>2525</v>
      </c>
      <c r="H42" s="68">
        <v>2525</v>
      </c>
      <c r="I42" s="68">
        <v>2539</v>
      </c>
      <c r="J42" s="68">
        <v>2539</v>
      </c>
      <c r="K42" s="68">
        <v>7977</v>
      </c>
      <c r="L42" s="68">
        <v>7977</v>
      </c>
      <c r="M42" s="68">
        <v>15954</v>
      </c>
      <c r="P42" s="68">
        <v>1671</v>
      </c>
      <c r="Q42" s="68">
        <v>1671</v>
      </c>
      <c r="R42" s="69">
        <v>452</v>
      </c>
      <c r="S42" s="69">
        <v>452</v>
      </c>
      <c r="T42" s="74">
        <f t="shared" si="2"/>
        <v>218.04835924006909</v>
      </c>
      <c r="U42" s="74">
        <f t="shared" si="3"/>
        <v>218.04835924006909</v>
      </c>
      <c r="V42" s="68">
        <v>2123</v>
      </c>
      <c r="W42" s="68">
        <v>2123</v>
      </c>
      <c r="X42" s="68">
        <v>4246</v>
      </c>
      <c r="AA42" t="s">
        <v>229</v>
      </c>
      <c r="AB42" t="s">
        <v>102</v>
      </c>
      <c r="AC42" s="75">
        <v>28051.338899999999</v>
      </c>
      <c r="AK42" t="s">
        <v>280</v>
      </c>
      <c r="AL42" t="s">
        <v>281</v>
      </c>
      <c r="AM42" t="s">
        <v>282</v>
      </c>
      <c r="AN42" t="s">
        <v>283</v>
      </c>
    </row>
    <row r="43" spans="1:40">
      <c r="A43" t="s">
        <v>210</v>
      </c>
      <c r="C43" s="68">
        <v>4287</v>
      </c>
      <c r="D43" s="68">
        <v>4287</v>
      </c>
      <c r="E43" s="68">
        <v>1040</v>
      </c>
      <c r="F43" s="68">
        <v>1040</v>
      </c>
      <c r="G43" s="68">
        <v>4743</v>
      </c>
      <c r="H43" s="68">
        <v>4743</v>
      </c>
      <c r="I43" s="68">
        <v>4771</v>
      </c>
      <c r="J43" s="68">
        <v>4771</v>
      </c>
      <c r="K43" s="68">
        <v>14841</v>
      </c>
      <c r="L43" s="68">
        <v>14841</v>
      </c>
      <c r="M43" s="68">
        <v>29682</v>
      </c>
      <c r="P43" s="68">
        <v>3021</v>
      </c>
      <c r="Q43" s="68">
        <v>3021</v>
      </c>
      <c r="R43" s="69">
        <v>820</v>
      </c>
      <c r="S43" s="69">
        <v>820</v>
      </c>
      <c r="T43" s="74">
        <f t="shared" si="2"/>
        <v>409.58549222797927</v>
      </c>
      <c r="U43" s="74">
        <f t="shared" si="3"/>
        <v>409.58549222797927</v>
      </c>
      <c r="V43" s="68">
        <v>3841</v>
      </c>
      <c r="W43" s="68">
        <v>3841</v>
      </c>
      <c r="X43" s="68">
        <v>7682</v>
      </c>
      <c r="AA43" t="s">
        <v>230</v>
      </c>
      <c r="AB43" t="s">
        <v>105</v>
      </c>
      <c r="AC43" s="75">
        <v>15650.840399999999</v>
      </c>
      <c r="AK43">
        <v>263.28750000000002</v>
      </c>
      <c r="AL43">
        <v>263.14999999999998</v>
      </c>
      <c r="AM43">
        <v>658.34339999999997</v>
      </c>
      <c r="AN43">
        <v>649.94010000000003</v>
      </c>
    </row>
    <row r="44" spans="1:40">
      <c r="A44" t="s">
        <v>211</v>
      </c>
      <c r="C44" s="69">
        <v>24</v>
      </c>
      <c r="D44" s="69">
        <v>24</v>
      </c>
      <c r="E44" s="69">
        <v>2</v>
      </c>
      <c r="F44" s="69">
        <v>2</v>
      </c>
      <c r="G44" s="69">
        <v>33</v>
      </c>
      <c r="H44" s="69">
        <v>33</v>
      </c>
      <c r="I44" s="69">
        <v>30</v>
      </c>
      <c r="J44" s="69">
        <v>30</v>
      </c>
      <c r="K44" s="69">
        <v>89</v>
      </c>
      <c r="L44" s="69">
        <v>89</v>
      </c>
      <c r="M44" s="69">
        <v>178</v>
      </c>
      <c r="P44" s="69">
        <v>19</v>
      </c>
      <c r="Q44" s="69">
        <v>19</v>
      </c>
      <c r="R44" s="69">
        <v>4</v>
      </c>
      <c r="S44" s="69">
        <v>4</v>
      </c>
      <c r="T44" s="74">
        <f t="shared" si="2"/>
        <v>2.849740932642487</v>
      </c>
      <c r="U44" s="74">
        <f t="shared" si="3"/>
        <v>2.849740932642487</v>
      </c>
      <c r="V44" s="69">
        <v>23</v>
      </c>
      <c r="W44" s="69">
        <v>23</v>
      </c>
      <c r="X44" s="69">
        <v>46</v>
      </c>
      <c r="AA44" t="s">
        <v>230</v>
      </c>
      <c r="AB44" t="s">
        <v>106</v>
      </c>
      <c r="AC44" s="75">
        <v>3793.4029</v>
      </c>
      <c r="AK44">
        <v>263.15710000000001</v>
      </c>
      <c r="AL44">
        <v>263.3263</v>
      </c>
      <c r="AM44">
        <v>652.92409999999995</v>
      </c>
      <c r="AN44">
        <v>649.42539999999997</v>
      </c>
    </row>
    <row r="45" spans="1:40">
      <c r="AA45" t="s">
        <v>231</v>
      </c>
      <c r="AB45" t="s">
        <v>232</v>
      </c>
      <c r="AC45" s="75">
        <v>2617.3850000000002</v>
      </c>
      <c r="AK45">
        <v>263.78250000000003</v>
      </c>
      <c r="AL45">
        <v>263.52199999999999</v>
      </c>
      <c r="AM45">
        <v>655.89350000000002</v>
      </c>
      <c r="AN45">
        <v>647.83619999999996</v>
      </c>
    </row>
    <row r="46" spans="1:40">
      <c r="AA46" t="s">
        <v>231</v>
      </c>
      <c r="AB46" t="s">
        <v>126</v>
      </c>
      <c r="AC46" s="75">
        <v>3238.1246999999998</v>
      </c>
      <c r="AK46">
        <v>264.4948</v>
      </c>
      <c r="AL46">
        <v>264.25319999999999</v>
      </c>
      <c r="AM46">
        <v>650.22400000000005</v>
      </c>
      <c r="AN46">
        <v>646.25300000000004</v>
      </c>
    </row>
    <row r="47" spans="1:40">
      <c r="AK47">
        <v>264.38010000000003</v>
      </c>
      <c r="AL47">
        <v>265.44740000000002</v>
      </c>
      <c r="AN47">
        <v>644.66999999999996</v>
      </c>
    </row>
    <row r="48" spans="1:40">
      <c r="AK48">
        <v>264.01859999999999</v>
      </c>
      <c r="AL48">
        <v>265.53899999999999</v>
      </c>
    </row>
    <row r="49" spans="37:38">
      <c r="AK49">
        <v>264.45800000000003</v>
      </c>
      <c r="AL49">
        <v>265.59870000000001</v>
      </c>
    </row>
    <row r="50" spans="37:38">
      <c r="AK50">
        <v>264.3426</v>
      </c>
      <c r="AL50">
        <v>265.5573</v>
      </c>
    </row>
    <row r="51" spans="37:38">
      <c r="AK51">
        <v>264.30790000000002</v>
      </c>
      <c r="AL51">
        <v>265.53140000000002</v>
      </c>
    </row>
    <row r="52" spans="37:38">
      <c r="AK52">
        <v>264.80329999999998</v>
      </c>
      <c r="AL52">
        <v>265.53230000000002</v>
      </c>
    </row>
    <row r="53" spans="37:38">
      <c r="AK53">
        <v>264.80329999999998</v>
      </c>
      <c r="AL53">
        <v>265.58249999999998</v>
      </c>
    </row>
    <row r="54" spans="37:38">
      <c r="AK54">
        <v>264.80329999999998</v>
      </c>
      <c r="AL54">
        <v>265.4778</v>
      </c>
    </row>
    <row r="55" spans="37:38">
      <c r="AK55">
        <v>265.37630000000001</v>
      </c>
      <c r="AL55">
        <v>264.19540000000001</v>
      </c>
    </row>
    <row r="56" spans="37:38">
      <c r="AK56">
        <v>265.37630000000001</v>
      </c>
      <c r="AL56">
        <v>265.48930000000001</v>
      </c>
    </row>
    <row r="57" spans="37:38">
      <c r="AK57">
        <v>265.37630000000001</v>
      </c>
      <c r="AL57">
        <v>265.2303</v>
      </c>
    </row>
    <row r="58" spans="37:38">
      <c r="AK58">
        <v>263.63299999999998</v>
      </c>
      <c r="AL58">
        <v>264.9914</v>
      </c>
    </row>
    <row r="59" spans="37:38">
      <c r="AK59">
        <v>263.19029999999998</v>
      </c>
      <c r="AL59">
        <v>264.56079999999997</v>
      </c>
    </row>
    <row r="60" spans="37:38">
      <c r="AK60">
        <v>264.1825</v>
      </c>
      <c r="AL60">
        <v>265.35079999999999</v>
      </c>
    </row>
    <row r="61" spans="37:38">
      <c r="AK61">
        <v>263.05619999999999</v>
      </c>
      <c r="AL61">
        <v>265.38589999999999</v>
      </c>
    </row>
    <row r="62" spans="37:38">
      <c r="AK62">
        <v>263.01089999999999</v>
      </c>
      <c r="AL62">
        <v>265.15949999999998</v>
      </c>
    </row>
    <row r="63" spans="37:38">
      <c r="AK63">
        <v>264.36450000000002</v>
      </c>
      <c r="AL63">
        <v>265.40269999999998</v>
      </c>
    </row>
    <row r="64" spans="37:38">
      <c r="AK64">
        <v>263.18360000000001</v>
      </c>
      <c r="AL64">
        <v>265.25900000000001</v>
      </c>
    </row>
    <row r="65" spans="37:38">
      <c r="AK65">
        <v>263.02910000000003</v>
      </c>
      <c r="AL65">
        <v>265.23009999999999</v>
      </c>
    </row>
    <row r="66" spans="37:38">
      <c r="AK66">
        <v>263.04509999999999</v>
      </c>
      <c r="AL66">
        <v>265.24959999999999</v>
      </c>
    </row>
    <row r="67" spans="37:38">
      <c r="AK67">
        <v>263.1241</v>
      </c>
      <c r="AL67">
        <v>265.00060000000002</v>
      </c>
    </row>
    <row r="68" spans="37:38">
      <c r="AK68">
        <v>263.0609</v>
      </c>
      <c r="AL68">
        <v>263.95639999999997</v>
      </c>
    </row>
    <row r="69" spans="37:38">
      <c r="AK69">
        <v>263.26960000000003</v>
      </c>
      <c r="AL69">
        <v>263.35599999999999</v>
      </c>
    </row>
    <row r="70" spans="37:38">
      <c r="AK70">
        <v>263.25670000000002</v>
      </c>
      <c r="AL70">
        <v>263.27480000000003</v>
      </c>
    </row>
    <row r="71" spans="37:38">
      <c r="AK71">
        <v>263.22179999999997</v>
      </c>
      <c r="AL71">
        <v>264.59930000000003</v>
      </c>
    </row>
    <row r="72" spans="37:38">
      <c r="AK72">
        <v>263.14269999999999</v>
      </c>
      <c r="AL72">
        <v>264.1114</v>
      </c>
    </row>
    <row r="73" spans="37:38">
      <c r="AK73">
        <v>263.28269999999998</v>
      </c>
      <c r="AL73">
        <v>264.56790000000001</v>
      </c>
    </row>
    <row r="74" spans="37:38">
      <c r="AK74">
        <v>263.08359999999999</v>
      </c>
      <c r="AL74">
        <v>264.10300000000001</v>
      </c>
    </row>
    <row r="75" spans="37:38">
      <c r="AK75">
        <v>263.1728</v>
      </c>
      <c r="AL75">
        <v>264.13679999999999</v>
      </c>
    </row>
    <row r="76" spans="37:38">
      <c r="AK76">
        <v>263.08359999999999</v>
      </c>
      <c r="AL76">
        <v>265.03250000000003</v>
      </c>
    </row>
    <row r="77" spans="37:38">
      <c r="AK77">
        <v>263.1728</v>
      </c>
      <c r="AL77">
        <v>263.67070000000001</v>
      </c>
    </row>
    <row r="78" spans="37:38">
      <c r="AK78">
        <v>263.01299999999998</v>
      </c>
      <c r="AL78">
        <v>264.59930000000003</v>
      </c>
    </row>
    <row r="79" spans="37:38">
      <c r="AK79">
        <v>263.08710000000002</v>
      </c>
      <c r="AL79">
        <v>264.1114</v>
      </c>
    </row>
    <row r="80" spans="37:38">
      <c r="AK80">
        <v>263.33159999999998</v>
      </c>
      <c r="AL80">
        <v>264.56790000000001</v>
      </c>
    </row>
    <row r="81" spans="37:38">
      <c r="AK81">
        <v>265.45819999999998</v>
      </c>
      <c r="AL81">
        <v>264.10300000000001</v>
      </c>
    </row>
    <row r="82" spans="37:38">
      <c r="AK82">
        <v>265.39909999999998</v>
      </c>
      <c r="AL82">
        <v>264.13679999999999</v>
      </c>
    </row>
    <row r="83" spans="37:38">
      <c r="AK83">
        <v>265.35759999999999</v>
      </c>
      <c r="AL83">
        <v>265.03250000000003</v>
      </c>
    </row>
    <row r="84" spans="37:38">
      <c r="AK84">
        <v>265.48480000000001</v>
      </c>
      <c r="AL84">
        <v>263.67070000000001</v>
      </c>
    </row>
    <row r="85" spans="37:38">
      <c r="AK85">
        <v>265.4966</v>
      </c>
      <c r="AL85">
        <v>263.78210000000001</v>
      </c>
    </row>
    <row r="86" spans="37:38">
      <c r="AK86">
        <v>265.44389999999999</v>
      </c>
      <c r="AL86">
        <v>262.28149999999999</v>
      </c>
    </row>
    <row r="87" spans="37:38">
      <c r="AK87">
        <v>265.4871</v>
      </c>
      <c r="AL87">
        <v>263.08690000000001</v>
      </c>
    </row>
    <row r="88" spans="37:38">
      <c r="AK88">
        <v>265.36009999999999</v>
      </c>
      <c r="AL88">
        <v>263.19619999999998</v>
      </c>
    </row>
    <row r="89" spans="37:38">
      <c r="AK89">
        <v>265.33390000000003</v>
      </c>
      <c r="AL89">
        <v>263.19619999999998</v>
      </c>
    </row>
    <row r="90" spans="37:38">
      <c r="AK90">
        <v>263.99829999999997</v>
      </c>
      <c r="AL90">
        <v>263.19619999999998</v>
      </c>
    </row>
    <row r="91" spans="37:38">
      <c r="AK91">
        <v>265.33260000000001</v>
      </c>
      <c r="AL91">
        <v>263.19619999999998</v>
      </c>
    </row>
    <row r="92" spans="37:38">
      <c r="AK92">
        <v>265.49009999999998</v>
      </c>
      <c r="AL92">
        <v>263.19619999999998</v>
      </c>
    </row>
    <row r="93" spans="37:38">
      <c r="AK93">
        <v>265.39690000000002</v>
      </c>
      <c r="AL93">
        <v>263.19619999999998</v>
      </c>
    </row>
    <row r="94" spans="37:38">
      <c r="AK94">
        <v>265.41719999999998</v>
      </c>
      <c r="AL94">
        <v>264.41059999999999</v>
      </c>
    </row>
    <row r="95" spans="37:38">
      <c r="AK95">
        <v>265.38510000000002</v>
      </c>
      <c r="AL95">
        <v>264.40190000000001</v>
      </c>
    </row>
    <row r="96" spans="37:38">
      <c r="AK96">
        <v>265.43380000000002</v>
      </c>
      <c r="AL96">
        <v>263.1893</v>
      </c>
    </row>
    <row r="97" spans="37:40">
      <c r="AL97">
        <v>263.76400000000001</v>
      </c>
    </row>
    <row r="98" spans="37:40">
      <c r="AL98">
        <v>263.76400000000001</v>
      </c>
    </row>
    <row r="99" spans="37:40">
      <c r="AL99">
        <v>263.76400000000001</v>
      </c>
    </row>
    <row r="100" spans="37:40">
      <c r="AL100">
        <v>263.33859999999999</v>
      </c>
    </row>
    <row r="101" spans="37:40">
      <c r="AL101">
        <v>263.40210000000002</v>
      </c>
    </row>
    <row r="102" spans="37:40">
      <c r="AL102">
        <v>263.28879999999998</v>
      </c>
    </row>
    <row r="108" spans="37:40">
      <c r="AK108">
        <f>SUM(AK43:AK107)</f>
        <v>14267.0414</v>
      </c>
      <c r="AL108">
        <f t="shared" ref="AL108:AN108" si="4">SUM(AL43:AL107)</f>
        <v>15857.704699999997</v>
      </c>
      <c r="AM108">
        <f t="shared" si="4"/>
        <v>2617.3850000000002</v>
      </c>
      <c r="AN108">
        <f t="shared" si="4"/>
        <v>3238.1246999999998</v>
      </c>
    </row>
    <row r="109" spans="37:40">
      <c r="AM109">
        <v>2617.3850000000002</v>
      </c>
      <c r="AN109">
        <v>3238.1246999999998</v>
      </c>
    </row>
  </sheetData>
  <mergeCells count="29">
    <mergeCell ref="C27:D27"/>
    <mergeCell ref="E27:F27"/>
    <mergeCell ref="G27:H27"/>
    <mergeCell ref="I27:J27"/>
    <mergeCell ref="K27:M27"/>
    <mergeCell ref="D6:E6"/>
    <mergeCell ref="B8:B9"/>
    <mergeCell ref="B10:B11"/>
    <mergeCell ref="B12:B13"/>
    <mergeCell ref="B14:B15"/>
    <mergeCell ref="B16:B17"/>
    <mergeCell ref="B18:B19"/>
    <mergeCell ref="B20:B21"/>
    <mergeCell ref="B22:B23"/>
    <mergeCell ref="B6:C7"/>
    <mergeCell ref="C36:D36"/>
    <mergeCell ref="E36:F36"/>
    <mergeCell ref="G36:H36"/>
    <mergeCell ref="I36:J36"/>
    <mergeCell ref="K36:M36"/>
    <mergeCell ref="AK41:AN41"/>
    <mergeCell ref="P36:Q36"/>
    <mergeCell ref="R36:S36"/>
    <mergeCell ref="V36:X36"/>
    <mergeCell ref="T27:U27"/>
    <mergeCell ref="T36:U36"/>
    <mergeCell ref="P27:Q27"/>
    <mergeCell ref="R27:S27"/>
    <mergeCell ref="V27:X27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92"/>
  <sheetViews>
    <sheetView topLeftCell="A35" zoomScale="70" zoomScaleNormal="70" workbookViewId="0">
      <selection activeCell="K97" sqref="K97"/>
    </sheetView>
  </sheetViews>
  <sheetFormatPr defaultRowHeight="17"/>
  <cols>
    <col min="22" max="22" width="15.08203125" bestFit="1" customWidth="1"/>
    <col min="46" max="46" width="15.08203125" bestFit="1" customWidth="1"/>
  </cols>
  <sheetData>
    <row r="1" spans="1:24">
      <c r="A1" s="32" t="s">
        <v>243</v>
      </c>
      <c r="B1" t="s">
        <v>237</v>
      </c>
      <c r="V1" s="32" t="s">
        <v>242</v>
      </c>
      <c r="W1" t="s">
        <v>241</v>
      </c>
    </row>
    <row r="2" spans="1:24">
      <c r="B2" t="s">
        <v>153</v>
      </c>
      <c r="C2" t="s">
        <v>236</v>
      </c>
      <c r="W2" t="s">
        <v>239</v>
      </c>
      <c r="X2" t="s">
        <v>240</v>
      </c>
    </row>
    <row r="3" spans="1:24">
      <c r="W3" t="s">
        <v>238</v>
      </c>
    </row>
    <row r="9" spans="1:24" ht="17.5" thickBot="1">
      <c r="A9" t="s">
        <v>312</v>
      </c>
    </row>
    <row r="10" spans="1:24" ht="18" thickTop="1" thickBot="1">
      <c r="A10" s="503" t="s">
        <v>311</v>
      </c>
      <c r="B10" s="505"/>
      <c r="C10" s="125" t="s">
        <v>44</v>
      </c>
      <c r="D10" s="125" t="s">
        <v>45</v>
      </c>
      <c r="E10" s="125" t="s">
        <v>46</v>
      </c>
      <c r="F10" s="126" t="s">
        <v>11</v>
      </c>
    </row>
    <row r="11" spans="1:24" ht="29.5" thickTop="1">
      <c r="A11" s="507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</row>
    <row r="12" spans="1:24" ht="29.5" thickBot="1">
      <c r="A12" s="511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24" ht="17.5" thickTop="1"/>
    <row r="16" spans="1:24" ht="18" thickBot="1">
      <c r="A16" s="157" t="s">
        <v>308</v>
      </c>
      <c r="L16" t="s">
        <v>317</v>
      </c>
      <c r="O16" s="157" t="s">
        <v>318</v>
      </c>
      <c r="X16" t="s">
        <v>317</v>
      </c>
    </row>
    <row r="17" spans="1:52" ht="17.5" thickTop="1">
      <c r="A17" s="523" t="s">
        <v>307</v>
      </c>
      <c r="B17" s="524"/>
      <c r="C17" s="524"/>
      <c r="D17" s="524"/>
      <c r="E17" s="525"/>
      <c r="F17" s="479" t="s">
        <v>165</v>
      </c>
      <c r="G17" s="480"/>
      <c r="H17" s="481"/>
      <c r="I17" s="105" t="s">
        <v>284</v>
      </c>
      <c r="J17" s="105" t="s">
        <v>286</v>
      </c>
      <c r="K17" s="105" t="s">
        <v>287</v>
      </c>
      <c r="L17" s="482" t="s">
        <v>21</v>
      </c>
      <c r="O17" s="527" t="s">
        <v>1</v>
      </c>
      <c r="P17" s="531" t="s">
        <v>288</v>
      </c>
      <c r="Q17" s="531"/>
      <c r="R17" s="531"/>
      <c r="S17" s="531"/>
      <c r="T17" s="531"/>
      <c r="U17" s="531"/>
      <c r="V17" s="531"/>
      <c r="W17" s="531"/>
      <c r="X17" s="531" t="s">
        <v>306</v>
      </c>
      <c r="Y17" s="531"/>
      <c r="Z17" s="531"/>
      <c r="AA17" s="531"/>
      <c r="AB17" s="531"/>
      <c r="AC17" s="531"/>
      <c r="AD17" s="531"/>
      <c r="AE17" s="531"/>
      <c r="AJ17" s="527" t="s">
        <v>1</v>
      </c>
      <c r="AK17" s="531" t="s">
        <v>288</v>
      </c>
      <c r="AL17" s="531"/>
      <c r="AM17" s="531"/>
      <c r="AN17" s="531"/>
      <c r="AO17" s="531"/>
      <c r="AP17" s="531"/>
      <c r="AQ17" s="531"/>
      <c r="AR17" s="531"/>
      <c r="AS17" s="531" t="s">
        <v>306</v>
      </c>
      <c r="AT17" s="531"/>
      <c r="AU17" s="531"/>
      <c r="AV17" s="531"/>
      <c r="AW17" s="531"/>
      <c r="AX17" s="531"/>
      <c r="AY17" s="531"/>
      <c r="AZ17" s="531"/>
    </row>
    <row r="18" spans="1:52" ht="17.5" thickBot="1">
      <c r="A18" s="526"/>
      <c r="B18" s="488"/>
      <c r="C18" s="488"/>
      <c r="D18" s="488"/>
      <c r="E18" s="489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83"/>
      <c r="O18" s="527"/>
      <c r="P18" s="520" t="s">
        <v>327</v>
      </c>
      <c r="Q18" s="521"/>
      <c r="R18" s="521"/>
      <c r="S18" s="521"/>
      <c r="T18" s="521"/>
      <c r="U18" s="522"/>
      <c r="V18" s="519" t="s">
        <v>250</v>
      </c>
      <c r="W18" s="519"/>
      <c r="X18" s="520" t="s">
        <v>327</v>
      </c>
      <c r="Y18" s="521"/>
      <c r="Z18" s="521"/>
      <c r="AA18" s="521"/>
      <c r="AB18" s="521"/>
      <c r="AC18" s="522"/>
      <c r="AD18" s="519" t="s">
        <v>250</v>
      </c>
      <c r="AE18" s="519"/>
      <c r="AJ18" s="527"/>
      <c r="AK18" s="520" t="s">
        <v>327</v>
      </c>
      <c r="AL18" s="521"/>
      <c r="AM18" s="521"/>
      <c r="AN18" s="521"/>
      <c r="AO18" s="521"/>
      <c r="AP18" s="522"/>
      <c r="AQ18" s="519" t="s">
        <v>250</v>
      </c>
      <c r="AR18" s="519"/>
      <c r="AS18" s="520" t="s">
        <v>327</v>
      </c>
      <c r="AT18" s="521"/>
      <c r="AU18" s="521"/>
      <c r="AV18" s="521"/>
      <c r="AW18" s="521"/>
      <c r="AX18" s="522"/>
      <c r="AY18" s="519" t="s">
        <v>250</v>
      </c>
      <c r="AZ18" s="519"/>
    </row>
    <row r="19" spans="1:52" ht="18" customHeight="1" thickTop="1">
      <c r="A19" s="507" t="s">
        <v>288</v>
      </c>
      <c r="B19" s="528" t="s">
        <v>26</v>
      </c>
      <c r="C19" s="529"/>
      <c r="D19" s="529"/>
      <c r="E19" s="530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527"/>
      <c r="P19" s="519" t="s">
        <v>325</v>
      </c>
      <c r="Q19" s="519"/>
      <c r="R19" s="519"/>
      <c r="S19" s="519"/>
      <c r="T19" s="519" t="s">
        <v>326</v>
      </c>
      <c r="U19" s="519"/>
      <c r="V19" s="519"/>
      <c r="W19" s="519"/>
      <c r="X19" s="519" t="s">
        <v>325</v>
      </c>
      <c r="Y19" s="519"/>
      <c r="Z19" s="519"/>
      <c r="AA19" s="519"/>
      <c r="AB19" s="519" t="s">
        <v>326</v>
      </c>
      <c r="AC19" s="519"/>
      <c r="AD19" s="519"/>
      <c r="AE19" s="519"/>
      <c r="AJ19" s="527"/>
      <c r="AK19" s="519" t="s">
        <v>325</v>
      </c>
      <c r="AL19" s="519"/>
      <c r="AM19" s="519"/>
      <c r="AN19" s="519"/>
      <c r="AO19" s="519" t="s">
        <v>326</v>
      </c>
      <c r="AP19" s="519"/>
      <c r="AQ19" s="519"/>
      <c r="AR19" s="519"/>
      <c r="AS19" s="519" t="s">
        <v>325</v>
      </c>
      <c r="AT19" s="519"/>
      <c r="AU19" s="519"/>
      <c r="AV19" s="519"/>
      <c r="AW19" s="519" t="s">
        <v>326</v>
      </c>
      <c r="AX19" s="519"/>
      <c r="AY19" s="519"/>
      <c r="AZ19" s="519"/>
    </row>
    <row r="20" spans="1:52">
      <c r="A20" s="508"/>
      <c r="B20" s="110" t="s">
        <v>289</v>
      </c>
      <c r="C20" s="490" t="s">
        <v>11</v>
      </c>
      <c r="D20" s="491"/>
      <c r="E20" s="496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527"/>
      <c r="P20" s="139" t="s">
        <v>314</v>
      </c>
      <c r="Q20" s="139" t="s">
        <v>285</v>
      </c>
      <c r="R20" s="104"/>
      <c r="S20" s="519" t="s">
        <v>166</v>
      </c>
      <c r="T20" s="519" t="s">
        <v>9</v>
      </c>
      <c r="U20" s="519" t="s">
        <v>10</v>
      </c>
      <c r="V20" s="519" t="s">
        <v>9</v>
      </c>
      <c r="W20" s="519" t="s">
        <v>10</v>
      </c>
      <c r="X20" s="139" t="s">
        <v>314</v>
      </c>
      <c r="Y20" s="139" t="s">
        <v>285</v>
      </c>
      <c r="Z20" s="104"/>
      <c r="AA20" s="519" t="s">
        <v>166</v>
      </c>
      <c r="AB20" s="519" t="s">
        <v>9</v>
      </c>
      <c r="AC20" s="519" t="s">
        <v>10</v>
      </c>
      <c r="AD20" s="519" t="s">
        <v>9</v>
      </c>
      <c r="AE20" s="519" t="s">
        <v>10</v>
      </c>
      <c r="AJ20" s="527"/>
      <c r="AK20" s="139" t="s">
        <v>314</v>
      </c>
      <c r="AL20" s="139" t="s">
        <v>285</v>
      </c>
      <c r="AM20" s="104"/>
      <c r="AN20" s="519" t="s">
        <v>166</v>
      </c>
      <c r="AO20" s="519" t="s">
        <v>9</v>
      </c>
      <c r="AP20" s="519" t="s">
        <v>10</v>
      </c>
      <c r="AQ20" s="519" t="s">
        <v>9</v>
      </c>
      <c r="AR20" s="519" t="s">
        <v>10</v>
      </c>
      <c r="AS20" s="139" t="s">
        <v>314</v>
      </c>
      <c r="AT20" s="139" t="s">
        <v>285</v>
      </c>
      <c r="AU20" s="104"/>
      <c r="AV20" s="519" t="s">
        <v>166</v>
      </c>
      <c r="AW20" s="519" t="s">
        <v>9</v>
      </c>
      <c r="AX20" s="519" t="s">
        <v>10</v>
      </c>
      <c r="AY20" s="519" t="s">
        <v>9</v>
      </c>
      <c r="AZ20" s="519" t="s">
        <v>10</v>
      </c>
    </row>
    <row r="21" spans="1:52">
      <c r="A21" s="508"/>
      <c r="B21" s="111" t="s">
        <v>290</v>
      </c>
      <c r="C21" s="110" t="s">
        <v>291</v>
      </c>
      <c r="D21" s="490" t="s">
        <v>292</v>
      </c>
      <c r="E21" s="496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527"/>
      <c r="P21" s="139" t="s">
        <v>44</v>
      </c>
      <c r="Q21" s="139" t="s">
        <v>45</v>
      </c>
      <c r="R21" s="139" t="s">
        <v>46</v>
      </c>
      <c r="S21" s="519"/>
      <c r="T21" s="519"/>
      <c r="U21" s="519"/>
      <c r="V21" s="519"/>
      <c r="W21" s="519"/>
      <c r="X21" s="139" t="s">
        <v>44</v>
      </c>
      <c r="Y21" s="139" t="s">
        <v>45</v>
      </c>
      <c r="Z21" s="139" t="s">
        <v>46</v>
      </c>
      <c r="AA21" s="519"/>
      <c r="AB21" s="519"/>
      <c r="AC21" s="519"/>
      <c r="AD21" s="519"/>
      <c r="AE21" s="519"/>
      <c r="AJ21" s="527"/>
      <c r="AK21" s="139" t="s">
        <v>44</v>
      </c>
      <c r="AL21" s="139" t="s">
        <v>45</v>
      </c>
      <c r="AM21" s="139" t="s">
        <v>46</v>
      </c>
      <c r="AN21" s="519"/>
      <c r="AO21" s="519"/>
      <c r="AP21" s="519"/>
      <c r="AQ21" s="519"/>
      <c r="AR21" s="519"/>
      <c r="AS21" s="139" t="s">
        <v>44</v>
      </c>
      <c r="AT21" s="139" t="s">
        <v>45</v>
      </c>
      <c r="AU21" s="139" t="s">
        <v>46</v>
      </c>
      <c r="AV21" s="519"/>
      <c r="AW21" s="519"/>
      <c r="AX21" s="519"/>
      <c r="AY21" s="519"/>
      <c r="AZ21" s="519"/>
    </row>
    <row r="22" spans="1:52">
      <c r="A22" s="508"/>
      <c r="B22" s="111" t="s">
        <v>19</v>
      </c>
      <c r="C22" s="116" t="s">
        <v>289</v>
      </c>
      <c r="D22" s="490" t="s">
        <v>293</v>
      </c>
      <c r="E22" s="496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140" t="s">
        <v>156</v>
      </c>
      <c r="P22" s="141">
        <f>AK22*0.01</f>
        <v>0.40700000000000003</v>
      </c>
      <c r="Q22" s="141">
        <f t="shared" ref="Q22:Q26" si="0">AL22*0.01</f>
        <v>7.0000000000000007E-2</v>
      </c>
      <c r="R22" s="141">
        <f t="shared" ref="R22:R26" si="1">AM22*0.01</f>
        <v>0.28199999999999997</v>
      </c>
      <c r="S22" s="141">
        <f t="shared" ref="S22:S26" si="2">AN22*0.01</f>
        <v>0.253</v>
      </c>
      <c r="T22" s="141">
        <f t="shared" ref="T22:T26" si="3">AO22*0.01</f>
        <v>0.26600000000000001</v>
      </c>
      <c r="U22" s="141">
        <f t="shared" ref="U22:U26" si="4">AP22*0.01</f>
        <v>0.28500000000000003</v>
      </c>
      <c r="V22" s="141">
        <f t="shared" ref="V22:V26" si="5">AQ22*0.01</f>
        <v>0.371</v>
      </c>
      <c r="W22" s="141">
        <f t="shared" ref="W22:W26" si="6">AR22*0.01</f>
        <v>0.34899999999999998</v>
      </c>
      <c r="X22" s="141">
        <f t="shared" ref="X22:X26" si="7">AS22*0.01</f>
        <v>0.40799999999999997</v>
      </c>
      <c r="Y22" s="141">
        <f t="shared" ref="Y22:Y26" si="8">AT22*0.01</f>
        <v>7.0999999999999994E-2</v>
      </c>
      <c r="Z22" s="141">
        <f t="shared" ref="Z22:Z26" si="9">AU22*0.01</f>
        <v>0.28399999999999997</v>
      </c>
      <c r="AA22" s="141">
        <f t="shared" ref="AA22:AA26" si="10">AV22*0.01</f>
        <v>0.254</v>
      </c>
      <c r="AB22" s="141">
        <f t="shared" ref="AB22:AB26" si="11">AW22*0.01</f>
        <v>0.26700000000000002</v>
      </c>
      <c r="AC22" s="141">
        <f t="shared" ref="AC22:AC26" si="12">AX22*0.01</f>
        <v>0.28699999999999998</v>
      </c>
      <c r="AD22" s="141">
        <f t="shared" ref="AD22:AD26" si="13">AY22*0.01</f>
        <v>0.37200000000000005</v>
      </c>
      <c r="AE22" s="141">
        <f t="shared" ref="AE22:AE26" si="14">AZ22*0.01</f>
        <v>0.35100000000000003</v>
      </c>
      <c r="AJ22" s="140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508"/>
      <c r="B23" s="112"/>
      <c r="C23" s="110" t="s">
        <v>294</v>
      </c>
      <c r="D23" s="490" t="s">
        <v>292</v>
      </c>
      <c r="E23" s="496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140" t="s">
        <v>157</v>
      </c>
      <c r="P23" s="141">
        <f t="shared" ref="P23:P26" si="15">AK23*0.01</f>
        <v>5.9000000000000004E-2</v>
      </c>
      <c r="Q23" s="141">
        <f t="shared" si="0"/>
        <v>2.4E-2</v>
      </c>
      <c r="R23" s="141">
        <f t="shared" si="1"/>
        <v>7.0000000000000007E-2</v>
      </c>
      <c r="S23" s="141">
        <f t="shared" si="2"/>
        <v>7.400000000000001E-2</v>
      </c>
      <c r="T23" s="141">
        <f t="shared" si="3"/>
        <v>1.9E-2</v>
      </c>
      <c r="U23" s="141">
        <f t="shared" si="4"/>
        <v>3.9E-2</v>
      </c>
      <c r="V23" s="141">
        <f t="shared" si="5"/>
        <v>9.6000000000000002E-2</v>
      </c>
      <c r="W23" s="141">
        <f t="shared" si="6"/>
        <v>9.3000000000000013E-2</v>
      </c>
      <c r="X23" s="141">
        <f t="shared" si="7"/>
        <v>5.9000000000000004E-2</v>
      </c>
      <c r="Y23" s="141">
        <f t="shared" si="8"/>
        <v>2.4E-2</v>
      </c>
      <c r="Z23" s="141">
        <f t="shared" si="9"/>
        <v>7.0999999999999994E-2</v>
      </c>
      <c r="AA23" s="141">
        <f t="shared" si="10"/>
        <v>7.4999999999999997E-2</v>
      </c>
      <c r="AB23" s="141">
        <f t="shared" si="11"/>
        <v>1.9E-2</v>
      </c>
      <c r="AC23" s="141">
        <f t="shared" si="12"/>
        <v>3.9E-2</v>
      </c>
      <c r="AD23" s="141">
        <f t="shared" si="13"/>
        <v>9.6999999999999989E-2</v>
      </c>
      <c r="AE23" s="141">
        <f t="shared" si="14"/>
        <v>9.4E-2</v>
      </c>
      <c r="AJ23" s="140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508"/>
      <c r="B24" s="112"/>
      <c r="C24" s="111" t="s">
        <v>289</v>
      </c>
      <c r="D24" s="515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140" t="s">
        <v>158</v>
      </c>
      <c r="P24" s="141">
        <f t="shared" si="15"/>
        <v>0.40100000000000002</v>
      </c>
      <c r="Q24" s="141">
        <f t="shared" si="0"/>
        <v>0.39100000000000001</v>
      </c>
      <c r="R24" s="141">
        <f t="shared" si="1"/>
        <v>0.40799999999999997</v>
      </c>
      <c r="S24" s="141">
        <f t="shared" si="2"/>
        <v>0.42</v>
      </c>
      <c r="T24" s="141">
        <f t="shared" si="3"/>
        <v>0.55299999999999994</v>
      </c>
      <c r="U24" s="141">
        <f t="shared" si="4"/>
        <v>0.19700000000000001</v>
      </c>
      <c r="V24" s="141">
        <f t="shared" si="5"/>
        <v>0.34799999999999998</v>
      </c>
      <c r="W24" s="141">
        <f t="shared" si="6"/>
        <v>0.35799999999999998</v>
      </c>
      <c r="X24" s="141">
        <f t="shared" si="7"/>
        <v>0.4</v>
      </c>
      <c r="Y24" s="141">
        <f t="shared" si="8"/>
        <v>0.39200000000000002</v>
      </c>
      <c r="Z24" s="141">
        <f t="shared" si="9"/>
        <v>0.40799999999999997</v>
      </c>
      <c r="AA24" s="141">
        <f t="shared" si="10"/>
        <v>0.42</v>
      </c>
      <c r="AB24" s="141">
        <f t="shared" si="11"/>
        <v>0.55299999999999994</v>
      </c>
      <c r="AC24" s="141">
        <f t="shared" si="12"/>
        <v>0.19700000000000001</v>
      </c>
      <c r="AD24" s="141">
        <f t="shared" si="13"/>
        <v>0.34799999999999998</v>
      </c>
      <c r="AE24" s="141">
        <f t="shared" si="14"/>
        <v>0.35700000000000004</v>
      </c>
      <c r="AJ24" s="140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508"/>
      <c r="B25" s="112"/>
      <c r="C25" s="112"/>
      <c r="D25" s="494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140" t="s">
        <v>46</v>
      </c>
      <c r="P25" s="141">
        <f t="shared" si="15"/>
        <v>0.13300000000000001</v>
      </c>
      <c r="Q25" s="141">
        <f t="shared" si="0"/>
        <v>0.51400000000000001</v>
      </c>
      <c r="R25" s="141">
        <f t="shared" si="1"/>
        <v>0.23899999999999999</v>
      </c>
      <c r="S25" s="141">
        <f t="shared" si="2"/>
        <v>0.253</v>
      </c>
      <c r="T25" s="141">
        <f t="shared" si="3"/>
        <v>0.16200000000000001</v>
      </c>
      <c r="U25" s="141">
        <f t="shared" si="4"/>
        <v>0.47899999999999998</v>
      </c>
      <c r="V25" s="141">
        <f t="shared" si="5"/>
        <v>0.185</v>
      </c>
      <c r="W25" s="141">
        <f t="shared" si="6"/>
        <v>0.19899999999999998</v>
      </c>
      <c r="X25" s="141">
        <f t="shared" si="7"/>
        <v>0.13200000000000001</v>
      </c>
      <c r="Y25" s="141">
        <f t="shared" si="8"/>
        <v>0.51300000000000001</v>
      </c>
      <c r="Z25" s="141">
        <f t="shared" si="9"/>
        <v>0.23800000000000002</v>
      </c>
      <c r="AA25" s="141">
        <f t="shared" si="10"/>
        <v>0.251</v>
      </c>
      <c r="AB25" s="141">
        <f t="shared" si="11"/>
        <v>0.161</v>
      </c>
      <c r="AC25" s="141">
        <f t="shared" si="12"/>
        <v>0.47600000000000003</v>
      </c>
      <c r="AD25" s="141">
        <f t="shared" si="13"/>
        <v>0.18300000000000002</v>
      </c>
      <c r="AE25" s="141">
        <f t="shared" si="14"/>
        <v>0.19800000000000001</v>
      </c>
      <c r="AJ25" s="140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508"/>
      <c r="B26" s="112"/>
      <c r="C26" s="112"/>
      <c r="D26" s="495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140" t="s">
        <v>11</v>
      </c>
      <c r="P26" s="141">
        <f t="shared" si="15"/>
        <v>1</v>
      </c>
      <c r="Q26" s="141">
        <f t="shared" si="0"/>
        <v>1</v>
      </c>
      <c r="R26" s="141">
        <f t="shared" si="1"/>
        <v>1</v>
      </c>
      <c r="S26" s="141">
        <f t="shared" si="2"/>
        <v>1</v>
      </c>
      <c r="T26" s="141">
        <f t="shared" si="3"/>
        <v>1</v>
      </c>
      <c r="U26" s="141">
        <f t="shared" si="4"/>
        <v>1</v>
      </c>
      <c r="V26" s="141">
        <f t="shared" si="5"/>
        <v>1</v>
      </c>
      <c r="W26" s="141">
        <f t="shared" si="6"/>
        <v>1</v>
      </c>
      <c r="X26" s="141">
        <f t="shared" si="7"/>
        <v>1</v>
      </c>
      <c r="Y26" s="141">
        <f t="shared" si="8"/>
        <v>1</v>
      </c>
      <c r="Z26" s="141">
        <f t="shared" si="9"/>
        <v>1</v>
      </c>
      <c r="AA26" s="141">
        <f t="shared" si="10"/>
        <v>1</v>
      </c>
      <c r="AB26" s="141">
        <f t="shared" si="11"/>
        <v>1</v>
      </c>
      <c r="AC26" s="141">
        <f t="shared" si="12"/>
        <v>1</v>
      </c>
      <c r="AD26" s="141">
        <f t="shared" si="13"/>
        <v>1</v>
      </c>
      <c r="AE26" s="141">
        <f t="shared" si="14"/>
        <v>1</v>
      </c>
      <c r="AJ26" s="140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508"/>
      <c r="B27" s="112"/>
      <c r="C27" s="112"/>
      <c r="D27" s="11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508"/>
      <c r="B28" s="112"/>
      <c r="C28" s="112"/>
      <c r="D28" s="111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508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508"/>
      <c r="B30" s="113"/>
      <c r="C30" s="490" t="s">
        <v>13</v>
      </c>
      <c r="D30" s="491"/>
      <c r="E30" s="496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508"/>
      <c r="B31" s="110" t="s">
        <v>300</v>
      </c>
      <c r="C31" s="490" t="s">
        <v>301</v>
      </c>
      <c r="D31" s="491"/>
      <c r="E31" s="496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508"/>
      <c r="B32" s="111" t="s">
        <v>20</v>
      </c>
      <c r="C32" s="490" t="s">
        <v>302</v>
      </c>
      <c r="D32" s="491"/>
      <c r="E32" s="496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48">
      <c r="A33" s="508"/>
      <c r="B33" s="111" t="s">
        <v>19</v>
      </c>
      <c r="C33" s="490" t="s">
        <v>303</v>
      </c>
      <c r="D33" s="491"/>
      <c r="E33" s="496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48" ht="17.5" thickBot="1">
      <c r="A34" s="508"/>
      <c r="B34" s="112"/>
      <c r="C34" s="490" t="s">
        <v>304</v>
      </c>
      <c r="D34" s="491"/>
      <c r="E34" s="496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48" ht="18" thickTop="1" thickBot="1">
      <c r="A35" s="508"/>
      <c r="B35" s="112"/>
      <c r="C35" s="490" t="s">
        <v>305</v>
      </c>
      <c r="D35" s="491"/>
      <c r="E35" s="496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503" t="s">
        <v>1</v>
      </c>
      <c r="AD35" s="504"/>
      <c r="AE35" s="504"/>
      <c r="AF35" s="504"/>
      <c r="AG35" s="505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48" ht="18" thickTop="1" thickBot="1">
      <c r="A36" s="511"/>
      <c r="B36" s="119"/>
      <c r="C36" s="501" t="s">
        <v>47</v>
      </c>
      <c r="D36" s="506"/>
      <c r="E36" s="502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507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48" ht="17.5" thickTop="1">
      <c r="A37" s="510" t="s">
        <v>306</v>
      </c>
      <c r="B37" s="512" t="s">
        <v>26</v>
      </c>
      <c r="C37" s="513"/>
      <c r="D37" s="513"/>
      <c r="E37" s="514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508"/>
      <c r="AD37" s="111" t="s">
        <v>19</v>
      </c>
      <c r="AE37" s="111" t="s">
        <v>294</v>
      </c>
      <c r="AF37" s="111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48">
      <c r="A38" s="508"/>
      <c r="B38" s="110" t="s">
        <v>289</v>
      </c>
      <c r="C38" s="490" t="s">
        <v>11</v>
      </c>
      <c r="D38" s="491"/>
      <c r="E38" s="496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508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48">
      <c r="A39" s="508"/>
      <c r="B39" s="111" t="s">
        <v>290</v>
      </c>
      <c r="C39" s="110" t="s">
        <v>291</v>
      </c>
      <c r="D39" s="490" t="s">
        <v>292</v>
      </c>
      <c r="E39" s="496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508"/>
      <c r="AD39" s="112"/>
      <c r="AE39" s="113"/>
      <c r="AF39" s="490" t="s">
        <v>166</v>
      </c>
      <c r="AG39" s="496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48">
      <c r="A40" s="508"/>
      <c r="B40" s="111" t="s">
        <v>19</v>
      </c>
      <c r="C40" s="116" t="s">
        <v>289</v>
      </c>
      <c r="D40" s="490" t="s">
        <v>293</v>
      </c>
      <c r="E40" s="496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508"/>
      <c r="AD40" s="112"/>
      <c r="AE40" s="110" t="s">
        <v>315</v>
      </c>
      <c r="AF40" s="490" t="s">
        <v>9</v>
      </c>
      <c r="AG40" s="496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48">
      <c r="A41" s="508"/>
      <c r="B41" s="112"/>
      <c r="C41" s="110" t="s">
        <v>294</v>
      </c>
      <c r="D41" s="490" t="s">
        <v>292</v>
      </c>
      <c r="E41" s="496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508"/>
      <c r="AD41" s="113"/>
      <c r="AE41" s="116" t="s">
        <v>316</v>
      </c>
      <c r="AF41" s="490" t="s">
        <v>10</v>
      </c>
      <c r="AG41" s="496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48">
      <c r="A42" s="508"/>
      <c r="B42" s="112"/>
      <c r="C42" s="111" t="s">
        <v>289</v>
      </c>
      <c r="D42" s="515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508"/>
      <c r="AD42" s="497" t="s">
        <v>250</v>
      </c>
      <c r="AE42" s="498"/>
      <c r="AF42" s="490" t="s">
        <v>9</v>
      </c>
      <c r="AG42" s="496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48">
      <c r="A43" s="508"/>
      <c r="B43" s="112"/>
      <c r="C43" s="112"/>
      <c r="D43" s="494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09"/>
      <c r="AD43" s="516"/>
      <c r="AE43" s="517"/>
      <c r="AF43" s="490" t="s">
        <v>10</v>
      </c>
      <c r="AG43" s="496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48" ht="29">
      <c r="A44" s="508"/>
      <c r="B44" s="112"/>
      <c r="C44" s="112"/>
      <c r="D44" s="495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18" t="s">
        <v>306</v>
      </c>
      <c r="AD44" s="110" t="s">
        <v>313</v>
      </c>
      <c r="AE44" s="110" t="s">
        <v>291</v>
      </c>
      <c r="AF44" s="11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  <c r="AT44" t="s">
        <v>216</v>
      </c>
      <c r="AU44" t="s">
        <v>148</v>
      </c>
      <c r="AV44" s="32" t="s">
        <v>74</v>
      </c>
    </row>
    <row r="45" spans="1:48">
      <c r="A45" s="508"/>
      <c r="B45" s="112"/>
      <c r="C45" s="112"/>
      <c r="D45" s="11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508"/>
      <c r="AD45" s="111" t="s">
        <v>19</v>
      </c>
      <c r="AE45" s="111" t="s">
        <v>294</v>
      </c>
      <c r="AF45" s="111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  <c r="AT45" t="s">
        <v>135</v>
      </c>
      <c r="AU45" t="s">
        <v>73</v>
      </c>
      <c r="AV45" s="75"/>
    </row>
    <row r="46" spans="1:48" ht="29">
      <c r="A46" s="508"/>
      <c r="B46" s="112"/>
      <c r="C46" s="112"/>
      <c r="D46" s="111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508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  <c r="AT46" t="s">
        <v>135</v>
      </c>
      <c r="AU46" t="s">
        <v>217</v>
      </c>
      <c r="AV46" s="75"/>
    </row>
    <row r="47" spans="1:48">
      <c r="A47" s="508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508"/>
      <c r="AD47" s="112"/>
      <c r="AE47" s="113"/>
      <c r="AF47" s="490" t="s">
        <v>166</v>
      </c>
      <c r="AG47" s="496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  <c r="AT47" t="s">
        <v>135</v>
      </c>
      <c r="AU47" t="s">
        <v>359</v>
      </c>
      <c r="AV47" s="75"/>
    </row>
    <row r="48" spans="1:48">
      <c r="A48" s="508"/>
      <c r="B48" s="113"/>
      <c r="C48" s="490" t="s">
        <v>13</v>
      </c>
      <c r="D48" s="491"/>
      <c r="E48" s="496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508"/>
      <c r="AD48" s="112"/>
      <c r="AE48" s="110" t="s">
        <v>315</v>
      </c>
      <c r="AF48" s="490" t="s">
        <v>9</v>
      </c>
      <c r="AG48" s="496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  <c r="AT48" t="s">
        <v>135</v>
      </c>
      <c r="AU48" t="s">
        <v>360</v>
      </c>
      <c r="AV48" s="75"/>
    </row>
    <row r="49" spans="1:48">
      <c r="A49" s="508"/>
      <c r="B49" s="110" t="s">
        <v>300</v>
      </c>
      <c r="C49" s="490" t="s">
        <v>301</v>
      </c>
      <c r="D49" s="491"/>
      <c r="E49" s="496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508"/>
      <c r="AD49" s="113"/>
      <c r="AE49" s="116" t="s">
        <v>316</v>
      </c>
      <c r="AF49" s="490" t="s">
        <v>10</v>
      </c>
      <c r="AG49" s="496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  <c r="AT49" t="s">
        <v>135</v>
      </c>
      <c r="AU49" t="s">
        <v>361</v>
      </c>
      <c r="AV49" s="75"/>
    </row>
    <row r="50" spans="1:48">
      <c r="A50" s="508"/>
      <c r="B50" s="111" t="s">
        <v>20</v>
      </c>
      <c r="C50" s="490" t="s">
        <v>302</v>
      </c>
      <c r="D50" s="491"/>
      <c r="E50" s="496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508"/>
      <c r="AD50" s="497" t="s">
        <v>250</v>
      </c>
      <c r="AE50" s="498"/>
      <c r="AF50" s="490" t="s">
        <v>9</v>
      </c>
      <c r="AG50" s="496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  <c r="AT50" t="s">
        <v>135</v>
      </c>
      <c r="AU50" t="s">
        <v>362</v>
      </c>
      <c r="AV50" s="75"/>
    </row>
    <row r="51" spans="1:48" ht="17.5" thickBot="1">
      <c r="A51" s="508"/>
      <c r="B51" s="111" t="s">
        <v>19</v>
      </c>
      <c r="C51" s="490" t="s">
        <v>303</v>
      </c>
      <c r="D51" s="491"/>
      <c r="E51" s="496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511"/>
      <c r="AD51" s="499"/>
      <c r="AE51" s="500"/>
      <c r="AF51" s="501" t="s">
        <v>10</v>
      </c>
      <c r="AG51" s="502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  <c r="AT51" t="s">
        <v>135</v>
      </c>
      <c r="AU51" t="s">
        <v>363</v>
      </c>
      <c r="AV51" s="75"/>
    </row>
    <row r="52" spans="1:48" ht="17.5" thickTop="1">
      <c r="A52" s="508"/>
      <c r="B52" s="112"/>
      <c r="C52" s="490" t="s">
        <v>304</v>
      </c>
      <c r="D52" s="491"/>
      <c r="E52" s="496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  <c r="AT52" t="s">
        <v>370</v>
      </c>
      <c r="AU52" t="s">
        <v>371</v>
      </c>
      <c r="AV52" s="75"/>
    </row>
    <row r="53" spans="1:48">
      <c r="A53" s="508"/>
      <c r="B53" s="112"/>
      <c r="C53" s="490" t="s">
        <v>305</v>
      </c>
      <c r="D53" s="491"/>
      <c r="E53" s="496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  <c r="AT53" t="s">
        <v>370</v>
      </c>
      <c r="AU53" t="s">
        <v>76</v>
      </c>
      <c r="AV53" s="75"/>
    </row>
    <row r="54" spans="1:48" ht="17.5" thickBot="1">
      <c r="A54" s="511"/>
      <c r="B54" s="119"/>
      <c r="C54" s="501" t="s">
        <v>47</v>
      </c>
      <c r="D54" s="506"/>
      <c r="E54" s="502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  <c r="AT54" t="s">
        <v>370</v>
      </c>
      <c r="AU54" t="s">
        <v>220</v>
      </c>
      <c r="AV54" s="75"/>
    </row>
    <row r="55" spans="1:48" ht="17.5" thickTop="1">
      <c r="AT55" t="s">
        <v>370</v>
      </c>
      <c r="AU55" t="s">
        <v>221</v>
      </c>
      <c r="AV55" s="75"/>
    </row>
    <row r="56" spans="1:48">
      <c r="AT56" t="s">
        <v>370</v>
      </c>
      <c r="AU56" t="s">
        <v>372</v>
      </c>
      <c r="AV56" s="75"/>
    </row>
    <row r="57" spans="1:48" ht="34">
      <c r="AT57" s="163" t="s">
        <v>374</v>
      </c>
      <c r="AU57" t="s">
        <v>373</v>
      </c>
      <c r="AV57" s="75"/>
    </row>
    <row r="58" spans="1:48" ht="23">
      <c r="A58" s="154" t="s">
        <v>333</v>
      </c>
      <c r="Z58" s="154" t="s">
        <v>336</v>
      </c>
      <c r="AJ58" s="102" t="s">
        <v>338</v>
      </c>
      <c r="AT58" t="s">
        <v>375</v>
      </c>
      <c r="AU58" t="s">
        <v>376</v>
      </c>
      <c r="AV58" s="75"/>
    </row>
    <row r="59" spans="1:48">
      <c r="A59" s="32" t="s">
        <v>308</v>
      </c>
      <c r="W59" t="s">
        <v>317</v>
      </c>
      <c r="Z59" s="32" t="s">
        <v>308</v>
      </c>
      <c r="AJ59" s="32" t="s">
        <v>308</v>
      </c>
      <c r="AT59" t="s">
        <v>375</v>
      </c>
      <c r="AU59" t="s">
        <v>79</v>
      </c>
      <c r="AV59" s="75"/>
    </row>
    <row r="60" spans="1:48" ht="18" customHeight="1" thickBot="1">
      <c r="F60" s="655" t="s">
        <v>319</v>
      </c>
      <c r="G60" s="655"/>
      <c r="H60" s="655"/>
      <c r="I60" s="655"/>
      <c r="J60" s="655"/>
      <c r="K60" s="655"/>
      <c r="L60" s="655" t="s">
        <v>320</v>
      </c>
      <c r="M60" s="655"/>
      <c r="N60" s="655"/>
      <c r="O60" s="655"/>
      <c r="P60" s="655"/>
      <c r="Q60" s="655"/>
      <c r="R60" s="655" t="s">
        <v>321</v>
      </c>
      <c r="S60" s="655"/>
      <c r="T60" s="655"/>
      <c r="U60" s="655"/>
      <c r="V60" s="655"/>
      <c r="W60" s="655"/>
      <c r="AE60" s="32" t="s">
        <v>334</v>
      </c>
      <c r="AF60" s="32" t="s">
        <v>335</v>
      </c>
      <c r="AG60" s="32" t="s">
        <v>321</v>
      </c>
      <c r="AO60" s="32" t="s">
        <v>334</v>
      </c>
      <c r="AP60" s="32" t="s">
        <v>335</v>
      </c>
      <c r="AQ60" s="32" t="s">
        <v>321</v>
      </c>
      <c r="AT60" t="s">
        <v>375</v>
      </c>
      <c r="AU60" t="s">
        <v>223</v>
      </c>
      <c r="AV60" s="75"/>
    </row>
    <row r="61" spans="1:48" ht="34">
      <c r="A61" s="484" t="s">
        <v>307</v>
      </c>
      <c r="B61" s="485"/>
      <c r="C61" s="485"/>
      <c r="D61" s="485"/>
      <c r="E61" s="486"/>
      <c r="F61" s="142" t="s">
        <v>165</v>
      </c>
      <c r="G61" s="143"/>
      <c r="H61" s="143"/>
      <c r="I61" s="485" t="s">
        <v>328</v>
      </c>
      <c r="J61" s="485" t="s">
        <v>329</v>
      </c>
      <c r="K61" s="485" t="s">
        <v>330</v>
      </c>
      <c r="L61" s="143"/>
      <c r="M61" s="143"/>
      <c r="N61" s="143"/>
      <c r="O61" s="485" t="s">
        <v>328</v>
      </c>
      <c r="P61" s="485" t="s">
        <v>329</v>
      </c>
      <c r="Q61" s="485" t="s">
        <v>330</v>
      </c>
      <c r="R61" s="143"/>
      <c r="S61" s="143"/>
      <c r="T61" s="144"/>
      <c r="U61" s="485" t="s">
        <v>328</v>
      </c>
      <c r="V61" s="485" t="s">
        <v>329</v>
      </c>
      <c r="W61" s="657" t="s">
        <v>330</v>
      </c>
      <c r="Z61" s="484" t="s">
        <v>307</v>
      </c>
      <c r="AA61" s="485"/>
      <c r="AB61" s="485"/>
      <c r="AC61" s="485"/>
      <c r="AD61" s="486"/>
      <c r="AJ61" s="484" t="s">
        <v>307</v>
      </c>
      <c r="AK61" s="485"/>
      <c r="AL61" s="485"/>
      <c r="AM61" s="485"/>
      <c r="AN61" s="486"/>
      <c r="AT61" s="163" t="s">
        <v>378</v>
      </c>
      <c r="AU61" t="s">
        <v>377</v>
      </c>
      <c r="AV61" s="75"/>
    </row>
    <row r="62" spans="1:48" ht="17.5" thickBot="1">
      <c r="A62" s="487"/>
      <c r="B62" s="488"/>
      <c r="C62" s="488"/>
      <c r="D62" s="488"/>
      <c r="E62" s="489"/>
      <c r="F62" s="148" t="s">
        <v>44</v>
      </c>
      <c r="G62" s="148" t="s">
        <v>45</v>
      </c>
      <c r="H62" s="148" t="s">
        <v>46</v>
      </c>
      <c r="I62" s="656"/>
      <c r="J62" s="656"/>
      <c r="K62" s="656"/>
      <c r="L62" s="148" t="s">
        <v>44</v>
      </c>
      <c r="M62" s="148" t="s">
        <v>45</v>
      </c>
      <c r="N62" s="148" t="s">
        <v>46</v>
      </c>
      <c r="O62" s="656"/>
      <c r="P62" s="656"/>
      <c r="Q62" s="656"/>
      <c r="R62" s="148" t="s">
        <v>44</v>
      </c>
      <c r="S62" s="148" t="s">
        <v>45</v>
      </c>
      <c r="T62" s="148" t="s">
        <v>46</v>
      </c>
      <c r="U62" s="656"/>
      <c r="V62" s="656"/>
      <c r="W62" s="658"/>
      <c r="Z62" s="487"/>
      <c r="AA62" s="488"/>
      <c r="AB62" s="488"/>
      <c r="AC62" s="488"/>
      <c r="AD62" s="489"/>
      <c r="AJ62" s="487"/>
      <c r="AK62" s="488"/>
      <c r="AL62" s="488"/>
      <c r="AM62" s="488"/>
      <c r="AN62" s="489"/>
      <c r="AT62" t="s">
        <v>379</v>
      </c>
      <c r="AU62" t="s">
        <v>380</v>
      </c>
      <c r="AV62" s="75"/>
    </row>
    <row r="63" spans="1:48" ht="17.5" thickTop="1">
      <c r="A63" s="145">
        <v>2023</v>
      </c>
      <c r="B63" s="110" t="s">
        <v>289</v>
      </c>
      <c r="C63" s="110"/>
      <c r="D63" s="490" t="s">
        <v>324</v>
      </c>
      <c r="E63" s="491"/>
      <c r="F63" s="149">
        <f>F21*P$22</f>
        <v>177.85900000000001</v>
      </c>
      <c r="G63" s="149">
        <f t="shared" ref="G63:I63" si="16">G21*Q$22</f>
        <v>9.1000000000000014</v>
      </c>
      <c r="H63" s="149">
        <f t="shared" si="16"/>
        <v>140.71799999999999</v>
      </c>
      <c r="I63" s="149">
        <f t="shared" si="16"/>
        <v>113.34399999999999</v>
      </c>
      <c r="J63" s="149">
        <f t="shared" ref="J63" si="17">J21*T$22</f>
        <v>0</v>
      </c>
      <c r="K63" s="149">
        <f t="shared" ref="K63" si="18">K21*U$22</f>
        <v>0</v>
      </c>
      <c r="L63" s="149">
        <f>F21*P$23</f>
        <v>25.783000000000001</v>
      </c>
      <c r="M63" s="149">
        <f>G21*Q$23</f>
        <v>3.12</v>
      </c>
      <c r="N63" s="149">
        <f>H21*R$23</f>
        <v>34.930000000000007</v>
      </c>
      <c r="O63" s="149">
        <f>I21*S$23</f>
        <v>33.152000000000001</v>
      </c>
      <c r="P63" s="149">
        <f t="shared" ref="P63:Q63" si="19">J21*T$23</f>
        <v>0</v>
      </c>
      <c r="Q63" s="149">
        <f t="shared" si="19"/>
        <v>0</v>
      </c>
      <c r="R63" s="101">
        <f>F21*P$24</f>
        <v>175.23700000000002</v>
      </c>
      <c r="S63" s="101">
        <f>G21*Q$24</f>
        <v>50.83</v>
      </c>
      <c r="T63" s="101">
        <f>H21*R$24</f>
        <v>203.59199999999998</v>
      </c>
      <c r="U63" s="101">
        <f>I21*S$24</f>
        <v>188.16</v>
      </c>
      <c r="V63" s="101">
        <f t="shared" ref="V63:W63" si="20">J21*T$24</f>
        <v>0</v>
      </c>
      <c r="W63" s="150">
        <f t="shared" si="20"/>
        <v>0</v>
      </c>
      <c r="Z63" s="145">
        <v>2023</v>
      </c>
      <c r="AA63" s="110" t="s">
        <v>289</v>
      </c>
      <c r="AB63" s="110"/>
      <c r="AC63" s="490" t="s">
        <v>324</v>
      </c>
      <c r="AD63" s="491"/>
      <c r="AE63" s="34">
        <f>SUM(F63:K63)</f>
        <v>441.02100000000002</v>
      </c>
      <c r="AF63" s="34">
        <f>SUM(L63:Q63)</f>
        <v>96.985000000000014</v>
      </c>
      <c r="AG63" s="34">
        <f>SUM(R63:W63)</f>
        <v>617.81899999999996</v>
      </c>
      <c r="AI63" t="s">
        <v>364</v>
      </c>
      <c r="AJ63" s="145">
        <v>2023</v>
      </c>
      <c r="AK63" s="110" t="s">
        <v>289</v>
      </c>
      <c r="AL63" s="110"/>
      <c r="AM63" s="490" t="s">
        <v>324</v>
      </c>
      <c r="AN63" s="491"/>
      <c r="AO63" s="159">
        <f>AE63/$P$31</f>
        <v>277.37169811320751</v>
      </c>
      <c r="AP63" s="159">
        <f>AF63/$Q$31</f>
        <v>57.050000000000011</v>
      </c>
      <c r="AQ63" s="159">
        <f>AG63/$R$31</f>
        <v>20.593966666666667</v>
      </c>
      <c r="AT63" t="s">
        <v>379</v>
      </c>
      <c r="AU63" t="s">
        <v>381</v>
      </c>
      <c r="AV63" s="75"/>
    </row>
    <row r="64" spans="1:48">
      <c r="A64" s="145"/>
      <c r="B64" s="111" t="s">
        <v>290</v>
      </c>
      <c r="C64" s="112"/>
      <c r="D64" s="494" t="s">
        <v>322</v>
      </c>
      <c r="E64" s="41" t="s">
        <v>296</v>
      </c>
      <c r="F64" s="149">
        <f>F25*P$22</f>
        <v>3870.9770000000003</v>
      </c>
      <c r="G64" s="149">
        <f t="shared" ref="G64:I64" si="21">G25*Q$22</f>
        <v>198.87000000000003</v>
      </c>
      <c r="H64" s="149">
        <f t="shared" si="21"/>
        <v>3063.3659999999995</v>
      </c>
      <c r="I64" s="149">
        <f t="shared" si="21"/>
        <v>3060.5410000000002</v>
      </c>
      <c r="J64" s="149">
        <f t="shared" ref="J64:J65" si="22">J25*T$22</f>
        <v>0</v>
      </c>
      <c r="K64" s="149">
        <f t="shared" ref="K64:K65" si="23">K25*U$22</f>
        <v>0</v>
      </c>
      <c r="L64" s="101">
        <f t="shared" ref="L64:O65" si="24">F25*P$23</f>
        <v>561.149</v>
      </c>
      <c r="M64" s="101">
        <f t="shared" si="24"/>
        <v>68.183999999999997</v>
      </c>
      <c r="N64" s="101">
        <f t="shared" si="24"/>
        <v>760.41000000000008</v>
      </c>
      <c r="O64" s="101">
        <f t="shared" si="24"/>
        <v>895.17800000000011</v>
      </c>
      <c r="P64" s="101">
        <f t="shared" ref="P64:Q64" si="25">J25*T$23</f>
        <v>0</v>
      </c>
      <c r="Q64" s="101">
        <f t="shared" si="25"/>
        <v>0</v>
      </c>
      <c r="R64" s="101">
        <f t="shared" ref="R64:U65" si="26">F25*P$24</f>
        <v>3813.9110000000001</v>
      </c>
      <c r="S64" s="101">
        <f t="shared" si="26"/>
        <v>1110.8310000000001</v>
      </c>
      <c r="T64" s="101">
        <f t="shared" si="26"/>
        <v>4432.1039999999994</v>
      </c>
      <c r="U64" s="101">
        <f t="shared" si="26"/>
        <v>5080.74</v>
      </c>
      <c r="V64" s="101">
        <f t="shared" ref="V64:W64" si="27">J25*T$24</f>
        <v>0</v>
      </c>
      <c r="W64" s="150">
        <f t="shared" si="27"/>
        <v>0</v>
      </c>
      <c r="Z64" s="145"/>
      <c r="AA64" s="111" t="s">
        <v>290</v>
      </c>
      <c r="AB64" s="112"/>
      <c r="AC64" s="494" t="s">
        <v>322</v>
      </c>
      <c r="AD64" s="41" t="s">
        <v>296</v>
      </c>
      <c r="AE64" s="34">
        <f t="shared" ref="AE64:AE74" si="28">SUM(F64:K64)</f>
        <v>10193.754000000001</v>
      </c>
      <c r="AF64" s="34">
        <f t="shared" ref="AF64:AF74" si="29">SUM(L64:Q64)</f>
        <v>2284.9210000000003</v>
      </c>
      <c r="AG64" s="34">
        <f t="shared" ref="AG64:AG74" si="30">SUM(R64:W64)</f>
        <v>14437.585999999999</v>
      </c>
      <c r="AI64" t="s">
        <v>365</v>
      </c>
      <c r="AJ64" s="145"/>
      <c r="AK64" s="111" t="s">
        <v>290</v>
      </c>
      <c r="AL64" s="112"/>
      <c r="AM64" s="494" t="s">
        <v>322</v>
      </c>
      <c r="AN64" s="41" t="s">
        <v>296</v>
      </c>
      <c r="AO64" s="159">
        <f t="shared" ref="AO64:AO74" si="31">AE64/$P$31</f>
        <v>6411.1660377358494</v>
      </c>
      <c r="AP64" s="159">
        <f t="shared" ref="AP64:AP74" si="32">AF64/$Q$31</f>
        <v>1344.0711764705884</v>
      </c>
      <c r="AQ64" s="159">
        <f t="shared" ref="AQ64:AQ74" si="33">AG64/$R$31</f>
        <v>481.25286666666665</v>
      </c>
      <c r="AT64" t="s">
        <v>379</v>
      </c>
      <c r="AU64" t="s">
        <v>382</v>
      </c>
      <c r="AV64" s="75"/>
    </row>
    <row r="65" spans="1:48" ht="29">
      <c r="A65" s="145"/>
      <c r="B65" s="111" t="s">
        <v>19</v>
      </c>
      <c r="C65" s="112"/>
      <c r="D65" s="495"/>
      <c r="E65" s="41" t="s">
        <v>297</v>
      </c>
      <c r="F65" s="149">
        <f>F26*P$22</f>
        <v>2909.643</v>
      </c>
      <c r="G65" s="149">
        <f t="shared" ref="G65:I65" si="34">G26*Q$22</f>
        <v>149.52000000000001</v>
      </c>
      <c r="H65" s="149">
        <f t="shared" si="34"/>
        <v>2302.5299999999997</v>
      </c>
      <c r="I65" s="149">
        <f t="shared" si="34"/>
        <v>1857.02</v>
      </c>
      <c r="J65" s="149">
        <f t="shared" si="22"/>
        <v>0</v>
      </c>
      <c r="K65" s="149">
        <f t="shared" si="23"/>
        <v>0</v>
      </c>
      <c r="L65" s="101">
        <f t="shared" si="24"/>
        <v>421.79100000000005</v>
      </c>
      <c r="M65" s="101">
        <f t="shared" si="24"/>
        <v>51.264000000000003</v>
      </c>
      <c r="N65" s="101">
        <f t="shared" si="24"/>
        <v>571.55000000000007</v>
      </c>
      <c r="O65" s="101">
        <f t="shared" si="24"/>
        <v>543.16000000000008</v>
      </c>
      <c r="P65" s="101">
        <f t="shared" ref="P65:Q65" si="35">J26*T$23</f>
        <v>0</v>
      </c>
      <c r="Q65" s="101">
        <f t="shared" si="35"/>
        <v>0</v>
      </c>
      <c r="R65" s="101">
        <f t="shared" si="26"/>
        <v>2866.7490000000003</v>
      </c>
      <c r="S65" s="101">
        <f t="shared" si="26"/>
        <v>835.17600000000004</v>
      </c>
      <c r="T65" s="101">
        <f t="shared" si="26"/>
        <v>3331.3199999999997</v>
      </c>
      <c r="U65" s="101">
        <f t="shared" si="26"/>
        <v>3082.7999999999997</v>
      </c>
      <c r="V65" s="101">
        <f t="shared" ref="V65:W65" si="36">J26*T$24</f>
        <v>0</v>
      </c>
      <c r="W65" s="150">
        <f t="shared" si="36"/>
        <v>0</v>
      </c>
      <c r="Z65" s="145"/>
      <c r="AA65" s="111" t="s">
        <v>19</v>
      </c>
      <c r="AB65" s="112"/>
      <c r="AC65" s="495"/>
      <c r="AD65" s="41" t="s">
        <v>297</v>
      </c>
      <c r="AE65" s="34">
        <f t="shared" si="28"/>
        <v>7218.7129999999997</v>
      </c>
      <c r="AF65" s="34">
        <f t="shared" si="29"/>
        <v>1587.7650000000001</v>
      </c>
      <c r="AG65" s="34">
        <f t="shared" si="30"/>
        <v>10116.045</v>
      </c>
      <c r="AI65" t="s">
        <v>366</v>
      </c>
      <c r="AJ65" s="145"/>
      <c r="AK65" s="111" t="s">
        <v>19</v>
      </c>
      <c r="AL65" s="112"/>
      <c r="AM65" s="495"/>
      <c r="AN65" s="41" t="s">
        <v>297</v>
      </c>
      <c r="AO65" s="159">
        <f t="shared" si="31"/>
        <v>4540.0710691823897</v>
      </c>
      <c r="AP65" s="159">
        <f t="shared" si="32"/>
        <v>933.97941176470601</v>
      </c>
      <c r="AQ65" s="159">
        <f t="shared" si="33"/>
        <v>337.20150000000001</v>
      </c>
      <c r="AT65" t="s">
        <v>379</v>
      </c>
      <c r="AU65" t="s">
        <v>383</v>
      </c>
      <c r="AV65" s="75"/>
    </row>
    <row r="66" spans="1:48" ht="16.5" customHeight="1">
      <c r="A66" s="145"/>
      <c r="B66" s="112"/>
      <c r="C66" s="112"/>
      <c r="D66" s="111" t="s">
        <v>323</v>
      </c>
      <c r="E66" s="41" t="s">
        <v>297</v>
      </c>
      <c r="F66" s="149">
        <f t="shared" ref="F66:F74" si="37">F28*P$22</f>
        <v>468.05</v>
      </c>
      <c r="G66" s="149">
        <f t="shared" ref="G66:I66" si="38">G28*Q$22</f>
        <v>24.01</v>
      </c>
      <c r="H66" s="149">
        <f t="shared" si="38"/>
        <v>370.26599999999996</v>
      </c>
      <c r="I66" s="149">
        <f t="shared" si="38"/>
        <v>298.79300000000001</v>
      </c>
      <c r="J66" s="149">
        <f t="shared" ref="J66:J67" si="39">J28*T$22</f>
        <v>0</v>
      </c>
      <c r="K66" s="149">
        <f t="shared" ref="K66:K67" si="40">K28*U$22</f>
        <v>0</v>
      </c>
      <c r="L66" s="101">
        <f t="shared" ref="L66:L74" si="41">F28*P$23</f>
        <v>67.850000000000009</v>
      </c>
      <c r="M66" s="101">
        <f t="shared" ref="M66:M74" si="42">G28*Q$23</f>
        <v>8.2319999999999993</v>
      </c>
      <c r="N66" s="101">
        <f t="shared" ref="N66:N74" si="43">H28*R$23</f>
        <v>91.910000000000011</v>
      </c>
      <c r="O66" s="101">
        <f t="shared" ref="O66:O74" si="44">I28*S$23</f>
        <v>87.394000000000005</v>
      </c>
      <c r="P66" s="101">
        <f t="shared" ref="P66:Q66" si="45">J28*T$23</f>
        <v>0</v>
      </c>
      <c r="Q66" s="101">
        <f t="shared" si="45"/>
        <v>0</v>
      </c>
      <c r="R66" s="101">
        <f t="shared" ref="R66:R74" si="46">F28*P$24</f>
        <v>461.15000000000003</v>
      </c>
      <c r="S66" s="101">
        <f t="shared" ref="S66:S74" si="47">G28*Q$24</f>
        <v>134.113</v>
      </c>
      <c r="T66" s="101">
        <f t="shared" ref="T66:T74" si="48">H28*R$24</f>
        <v>535.70399999999995</v>
      </c>
      <c r="U66" s="101">
        <f t="shared" ref="U66:U74" si="49">I28*S$24</f>
        <v>496.02</v>
      </c>
      <c r="V66" s="101">
        <f t="shared" ref="V66:W66" si="50">J28*T$24</f>
        <v>0</v>
      </c>
      <c r="W66" s="150">
        <f t="shared" si="50"/>
        <v>0</v>
      </c>
      <c r="Z66" s="145"/>
      <c r="AA66" s="112"/>
      <c r="AB66" s="112"/>
      <c r="AC66" s="111" t="s">
        <v>323</v>
      </c>
      <c r="AD66" s="41" t="s">
        <v>297</v>
      </c>
      <c r="AE66" s="34">
        <f t="shared" si="28"/>
        <v>1161.1190000000001</v>
      </c>
      <c r="AF66" s="34">
        <f t="shared" si="29"/>
        <v>255.38600000000002</v>
      </c>
      <c r="AG66" s="34">
        <f t="shared" si="30"/>
        <v>1626.9870000000001</v>
      </c>
      <c r="AI66" t="s">
        <v>367</v>
      </c>
      <c r="AJ66" s="145"/>
      <c r="AK66" s="112"/>
      <c r="AL66" s="112"/>
      <c r="AM66" s="111" t="s">
        <v>323</v>
      </c>
      <c r="AN66" s="41" t="s">
        <v>297</v>
      </c>
      <c r="AO66" s="159">
        <f t="shared" si="31"/>
        <v>730.26352201257862</v>
      </c>
      <c r="AP66" s="159">
        <f t="shared" si="32"/>
        <v>150.22705882352943</v>
      </c>
      <c r="AQ66" s="159">
        <f t="shared" si="33"/>
        <v>54.232900000000001</v>
      </c>
      <c r="AT66" t="s">
        <v>384</v>
      </c>
      <c r="AU66" t="s">
        <v>385</v>
      </c>
      <c r="AV66" s="75"/>
    </row>
    <row r="67" spans="1:48">
      <c r="A67" s="145"/>
      <c r="B67" s="112"/>
      <c r="C67" s="113"/>
      <c r="D67" s="113"/>
      <c r="E67" s="41" t="s">
        <v>299</v>
      </c>
      <c r="F67" s="149">
        <f t="shared" si="37"/>
        <v>818.88400000000001</v>
      </c>
      <c r="G67" s="149">
        <f t="shared" ref="G67" si="51">G29*Q$22</f>
        <v>42.070000000000007</v>
      </c>
      <c r="H67" s="149">
        <f t="shared" ref="H67" si="52">H29*R$22</f>
        <v>648.03599999999994</v>
      </c>
      <c r="I67" s="149">
        <f t="shared" ref="I67" si="53">I29*S$22</f>
        <v>522.69799999999998</v>
      </c>
      <c r="J67" s="149">
        <f t="shared" si="39"/>
        <v>0</v>
      </c>
      <c r="K67" s="149">
        <f t="shared" si="40"/>
        <v>0</v>
      </c>
      <c r="L67" s="101">
        <f t="shared" si="41"/>
        <v>118.70800000000001</v>
      </c>
      <c r="M67" s="101">
        <f t="shared" si="42"/>
        <v>14.423999999999999</v>
      </c>
      <c r="N67" s="101">
        <f t="shared" si="43"/>
        <v>160.86000000000001</v>
      </c>
      <c r="O67" s="101">
        <f t="shared" si="44"/>
        <v>152.88400000000001</v>
      </c>
      <c r="P67" s="101">
        <f t="shared" ref="P67:Q67" si="54">J29*T$23</f>
        <v>0</v>
      </c>
      <c r="Q67" s="101">
        <f t="shared" si="54"/>
        <v>0</v>
      </c>
      <c r="R67" s="101">
        <f t="shared" si="46"/>
        <v>806.81200000000001</v>
      </c>
      <c r="S67" s="101">
        <f t="shared" si="47"/>
        <v>234.99100000000001</v>
      </c>
      <c r="T67" s="101">
        <f t="shared" si="48"/>
        <v>937.58399999999995</v>
      </c>
      <c r="U67" s="101">
        <f t="shared" si="49"/>
        <v>867.71999999999991</v>
      </c>
      <c r="V67" s="101">
        <f t="shared" ref="V67:W67" si="55">J29*T$24</f>
        <v>0</v>
      </c>
      <c r="W67" s="150">
        <f t="shared" si="55"/>
        <v>0</v>
      </c>
      <c r="Z67" s="145"/>
      <c r="AA67" s="112"/>
      <c r="AB67" s="113"/>
      <c r="AC67" s="113"/>
      <c r="AD67" s="41" t="s">
        <v>299</v>
      </c>
      <c r="AE67" s="34">
        <f t="shared" si="28"/>
        <v>2031.6880000000001</v>
      </c>
      <c r="AF67" s="34">
        <f t="shared" si="29"/>
        <v>446.87600000000003</v>
      </c>
      <c r="AG67" s="34">
        <f t="shared" si="30"/>
        <v>2847.107</v>
      </c>
      <c r="AJ67" s="145"/>
      <c r="AK67" s="112"/>
      <c r="AL67" s="113"/>
      <c r="AM67" s="113"/>
      <c r="AN67" s="41" t="s">
        <v>299</v>
      </c>
      <c r="AO67" s="159">
        <f t="shared" si="31"/>
        <v>1277.7911949685536</v>
      </c>
      <c r="AP67" s="159">
        <f t="shared" si="32"/>
        <v>262.86823529411765</v>
      </c>
      <c r="AQ67" s="159">
        <f t="shared" si="33"/>
        <v>94.903566666666663</v>
      </c>
      <c r="AT67" t="s">
        <v>384</v>
      </c>
      <c r="AU67" t="s">
        <v>103</v>
      </c>
      <c r="AV67" s="75"/>
    </row>
    <row r="68" spans="1:48">
      <c r="A68" s="145"/>
      <c r="B68" s="113"/>
      <c r="C68" s="490" t="s">
        <v>13</v>
      </c>
      <c r="D68" s="491"/>
      <c r="E68" s="491"/>
      <c r="F68" s="149">
        <f t="shared" si="37"/>
        <v>0</v>
      </c>
      <c r="G68" s="149">
        <f t="shared" ref="G68" si="56">G30*Q$22</f>
        <v>0</v>
      </c>
      <c r="H68" s="149">
        <f t="shared" ref="H68" si="57">H30*R$22</f>
        <v>0</v>
      </c>
      <c r="I68" s="149">
        <f t="shared" ref="I68" si="58">I30*S$22</f>
        <v>0</v>
      </c>
      <c r="J68" s="149">
        <f t="shared" ref="J68" si="59">J30*T$22</f>
        <v>435.97400000000005</v>
      </c>
      <c r="K68" s="149">
        <f t="shared" ref="K68" si="60">K30*U$22</f>
        <v>5032.2450000000008</v>
      </c>
      <c r="L68" s="101">
        <f t="shared" si="41"/>
        <v>0</v>
      </c>
      <c r="M68" s="101">
        <f t="shared" si="42"/>
        <v>0</v>
      </c>
      <c r="N68" s="101">
        <f t="shared" si="43"/>
        <v>0</v>
      </c>
      <c r="O68" s="101">
        <f t="shared" si="44"/>
        <v>0</v>
      </c>
      <c r="P68" s="101">
        <f t="shared" ref="P68" si="61">J30*T$23</f>
        <v>31.140999999999998</v>
      </c>
      <c r="Q68" s="101">
        <f t="shared" ref="Q68" si="62">K30*U$23</f>
        <v>688.62300000000005</v>
      </c>
      <c r="R68" s="101">
        <f t="shared" si="46"/>
        <v>0</v>
      </c>
      <c r="S68" s="101">
        <f t="shared" si="47"/>
        <v>0</v>
      </c>
      <c r="T68" s="101">
        <f t="shared" si="48"/>
        <v>0</v>
      </c>
      <c r="U68" s="101">
        <f t="shared" si="49"/>
        <v>0</v>
      </c>
      <c r="V68" s="101">
        <f t="shared" ref="V68" si="63">J30*T$24</f>
        <v>906.36699999999985</v>
      </c>
      <c r="W68" s="150">
        <f t="shared" ref="W68" si="64">K30*U$24</f>
        <v>3478.4290000000001</v>
      </c>
      <c r="Z68" s="145"/>
      <c r="AA68" s="113"/>
      <c r="AB68" s="490" t="s">
        <v>13</v>
      </c>
      <c r="AC68" s="491"/>
      <c r="AD68" s="491"/>
      <c r="AE68" s="34">
        <f t="shared" si="28"/>
        <v>5468.219000000001</v>
      </c>
      <c r="AF68" s="34">
        <f t="shared" si="29"/>
        <v>719.76400000000001</v>
      </c>
      <c r="AG68" s="34">
        <f t="shared" si="30"/>
        <v>4384.7960000000003</v>
      </c>
      <c r="AI68" t="s">
        <v>387</v>
      </c>
      <c r="AJ68" s="145"/>
      <c r="AK68" s="113"/>
      <c r="AL68" s="490" t="s">
        <v>13</v>
      </c>
      <c r="AM68" s="491"/>
      <c r="AN68" s="491"/>
      <c r="AO68" s="159">
        <f t="shared" si="31"/>
        <v>3439.1314465408809</v>
      </c>
      <c r="AP68" s="159">
        <f t="shared" si="32"/>
        <v>423.39058823529416</v>
      </c>
      <c r="AQ68" s="159">
        <f t="shared" si="33"/>
        <v>146.15986666666669</v>
      </c>
      <c r="AT68" t="s">
        <v>384</v>
      </c>
      <c r="AU68" t="s">
        <v>104</v>
      </c>
      <c r="AV68" s="75"/>
    </row>
    <row r="69" spans="1:48">
      <c r="A69" s="145"/>
      <c r="B69" s="110" t="s">
        <v>300</v>
      </c>
      <c r="C69" s="490" t="s">
        <v>301</v>
      </c>
      <c r="D69" s="491"/>
      <c r="E69" s="491"/>
      <c r="F69" s="149">
        <f t="shared" si="37"/>
        <v>0</v>
      </c>
      <c r="G69" s="149">
        <f t="shared" ref="G69:G74" si="65">G31*Q$22</f>
        <v>0</v>
      </c>
      <c r="H69" s="149">
        <f t="shared" ref="H69:H74" si="66">H31*R$22</f>
        <v>0</v>
      </c>
      <c r="I69" s="149">
        <f t="shared" ref="I69:I74" si="67">I31*S$22</f>
        <v>0</v>
      </c>
      <c r="J69" s="149">
        <f t="shared" ref="J69:J74" si="68">J31*T$22</f>
        <v>7656.2780000000002</v>
      </c>
      <c r="K69" s="149">
        <f t="shared" ref="K69:K74" si="69">K31*U$22</f>
        <v>31583.415000000005</v>
      </c>
      <c r="L69" s="101">
        <f t="shared" si="41"/>
        <v>0</v>
      </c>
      <c r="M69" s="101">
        <f t="shared" si="42"/>
        <v>0</v>
      </c>
      <c r="N69" s="101">
        <f t="shared" si="43"/>
        <v>0</v>
      </c>
      <c r="O69" s="101">
        <f t="shared" si="44"/>
        <v>0</v>
      </c>
      <c r="P69" s="101">
        <f t="shared" ref="P69:P74" si="70">J31*T$23</f>
        <v>546.87699999999995</v>
      </c>
      <c r="Q69" s="101">
        <f t="shared" ref="Q69:Q74" si="71">K31*U$23</f>
        <v>4321.9409999999998</v>
      </c>
      <c r="R69" s="101">
        <f t="shared" si="46"/>
        <v>0</v>
      </c>
      <c r="S69" s="101">
        <f t="shared" si="47"/>
        <v>0</v>
      </c>
      <c r="T69" s="101">
        <f t="shared" si="48"/>
        <v>0</v>
      </c>
      <c r="U69" s="101">
        <f t="shared" si="49"/>
        <v>0</v>
      </c>
      <c r="V69" s="101">
        <f t="shared" ref="V69:V74" si="72">J31*T$24</f>
        <v>15916.998999999998</v>
      </c>
      <c r="W69" s="150">
        <f t="shared" ref="W69:W74" si="73">K31*U$24</f>
        <v>21831.343000000001</v>
      </c>
      <c r="Z69" s="145"/>
      <c r="AA69" s="110" t="s">
        <v>300</v>
      </c>
      <c r="AB69" s="490" t="s">
        <v>301</v>
      </c>
      <c r="AC69" s="491"/>
      <c r="AD69" s="491"/>
      <c r="AE69" s="34">
        <f t="shared" si="28"/>
        <v>39239.693000000007</v>
      </c>
      <c r="AF69" s="34">
        <f t="shared" si="29"/>
        <v>4868.8179999999993</v>
      </c>
      <c r="AG69" s="34">
        <f t="shared" si="30"/>
        <v>37748.341999999997</v>
      </c>
      <c r="AI69" t="s">
        <v>368</v>
      </c>
      <c r="AJ69" s="145"/>
      <c r="AK69" s="110" t="s">
        <v>300</v>
      </c>
      <c r="AL69" s="490" t="s">
        <v>301</v>
      </c>
      <c r="AM69" s="491"/>
      <c r="AN69" s="491"/>
      <c r="AO69" s="159">
        <f t="shared" si="31"/>
        <v>24679.052201257866</v>
      </c>
      <c r="AP69" s="159">
        <f t="shared" si="32"/>
        <v>2864.0105882352937</v>
      </c>
      <c r="AQ69" s="159">
        <f t="shared" si="33"/>
        <v>1258.2780666666665</v>
      </c>
      <c r="AT69" t="s">
        <v>384</v>
      </c>
      <c r="AU69" t="s">
        <v>117</v>
      </c>
      <c r="AV69" s="75"/>
    </row>
    <row r="70" spans="1:48" ht="16.5" customHeight="1">
      <c r="A70" s="145"/>
      <c r="B70" s="111" t="s">
        <v>20</v>
      </c>
      <c r="C70" s="490" t="s">
        <v>302</v>
      </c>
      <c r="D70" s="491"/>
      <c r="E70" s="491"/>
      <c r="F70" s="149">
        <f t="shared" si="37"/>
        <v>0</v>
      </c>
      <c r="G70" s="149">
        <f t="shared" si="65"/>
        <v>0</v>
      </c>
      <c r="H70" s="149">
        <f t="shared" si="66"/>
        <v>0</v>
      </c>
      <c r="I70" s="149">
        <f t="shared" si="67"/>
        <v>0</v>
      </c>
      <c r="J70" s="149">
        <f t="shared" si="68"/>
        <v>91.238</v>
      </c>
      <c r="K70" s="149">
        <f t="shared" si="69"/>
        <v>103.45500000000001</v>
      </c>
      <c r="L70" s="101">
        <f t="shared" si="41"/>
        <v>0</v>
      </c>
      <c r="M70" s="101">
        <f t="shared" si="42"/>
        <v>0</v>
      </c>
      <c r="N70" s="101">
        <f t="shared" si="43"/>
        <v>0</v>
      </c>
      <c r="O70" s="101">
        <f t="shared" si="44"/>
        <v>0</v>
      </c>
      <c r="P70" s="101">
        <f t="shared" si="70"/>
        <v>6.5169999999999995</v>
      </c>
      <c r="Q70" s="101">
        <f t="shared" si="71"/>
        <v>14.157</v>
      </c>
      <c r="R70" s="101">
        <f t="shared" si="46"/>
        <v>0</v>
      </c>
      <c r="S70" s="101">
        <f t="shared" si="47"/>
        <v>0</v>
      </c>
      <c r="T70" s="101">
        <f t="shared" si="48"/>
        <v>0</v>
      </c>
      <c r="U70" s="101">
        <f t="shared" si="49"/>
        <v>0</v>
      </c>
      <c r="V70" s="101">
        <f t="shared" si="72"/>
        <v>189.67899999999997</v>
      </c>
      <c r="W70" s="150">
        <f t="shared" si="73"/>
        <v>71.51100000000001</v>
      </c>
      <c r="Z70" s="145"/>
      <c r="AA70" s="111" t="s">
        <v>20</v>
      </c>
      <c r="AB70" s="490" t="s">
        <v>302</v>
      </c>
      <c r="AC70" s="491"/>
      <c r="AD70" s="491"/>
      <c r="AE70" s="34">
        <f t="shared" si="28"/>
        <v>194.69300000000001</v>
      </c>
      <c r="AF70" s="34">
        <f t="shared" si="29"/>
        <v>20.673999999999999</v>
      </c>
      <c r="AG70" s="34">
        <f t="shared" si="30"/>
        <v>261.19</v>
      </c>
      <c r="AI70" t="s">
        <v>369</v>
      </c>
      <c r="AJ70" s="145"/>
      <c r="AK70" s="111" t="s">
        <v>20</v>
      </c>
      <c r="AL70" s="490" t="s">
        <v>302</v>
      </c>
      <c r="AM70" s="491"/>
      <c r="AN70" s="491"/>
      <c r="AO70" s="159">
        <f t="shared" si="31"/>
        <v>122.44842767295597</v>
      </c>
      <c r="AP70" s="159">
        <f t="shared" si="32"/>
        <v>12.161176470588236</v>
      </c>
      <c r="AQ70" s="159">
        <f t="shared" si="33"/>
        <v>8.7063333333333333</v>
      </c>
      <c r="AT70" t="s">
        <v>384</v>
      </c>
      <c r="AU70" t="s">
        <v>118</v>
      </c>
      <c r="AV70" s="75"/>
    </row>
    <row r="71" spans="1:48" ht="17.25" customHeight="1">
      <c r="A71" s="145"/>
      <c r="B71" s="111" t="s">
        <v>19</v>
      </c>
      <c r="C71" s="490" t="s">
        <v>303</v>
      </c>
      <c r="D71" s="491"/>
      <c r="E71" s="491"/>
      <c r="F71" s="149">
        <f t="shared" si="37"/>
        <v>0</v>
      </c>
      <c r="G71" s="149">
        <f t="shared" si="65"/>
        <v>0</v>
      </c>
      <c r="H71" s="149">
        <f t="shared" si="66"/>
        <v>0</v>
      </c>
      <c r="I71" s="149">
        <f t="shared" si="67"/>
        <v>0</v>
      </c>
      <c r="J71" s="149">
        <f t="shared" si="68"/>
        <v>161.46200000000002</v>
      </c>
      <c r="K71" s="149">
        <f t="shared" si="69"/>
        <v>2182.8150000000001</v>
      </c>
      <c r="L71" s="101">
        <f t="shared" si="41"/>
        <v>0</v>
      </c>
      <c r="M71" s="101">
        <f t="shared" si="42"/>
        <v>0</v>
      </c>
      <c r="N71" s="101">
        <f t="shared" si="43"/>
        <v>0</v>
      </c>
      <c r="O71" s="101">
        <f t="shared" si="44"/>
        <v>0</v>
      </c>
      <c r="P71" s="101">
        <f t="shared" si="70"/>
        <v>11.532999999999999</v>
      </c>
      <c r="Q71" s="101">
        <f t="shared" si="71"/>
        <v>298.70100000000002</v>
      </c>
      <c r="R71" s="101">
        <f t="shared" si="46"/>
        <v>0</v>
      </c>
      <c r="S71" s="101">
        <f t="shared" si="47"/>
        <v>0</v>
      </c>
      <c r="T71" s="101">
        <f t="shared" si="48"/>
        <v>0</v>
      </c>
      <c r="U71" s="101">
        <f t="shared" si="49"/>
        <v>0</v>
      </c>
      <c r="V71" s="101">
        <f t="shared" si="72"/>
        <v>335.67099999999994</v>
      </c>
      <c r="W71" s="150">
        <f t="shared" si="73"/>
        <v>1508.8230000000001</v>
      </c>
      <c r="Z71" s="145"/>
      <c r="AA71" s="111" t="s">
        <v>19</v>
      </c>
      <c r="AB71" s="490" t="s">
        <v>303</v>
      </c>
      <c r="AC71" s="491"/>
      <c r="AD71" s="491"/>
      <c r="AE71" s="34">
        <f t="shared" si="28"/>
        <v>2344.277</v>
      </c>
      <c r="AF71" s="34">
        <f t="shared" si="29"/>
        <v>310.23400000000004</v>
      </c>
      <c r="AG71" s="34">
        <f t="shared" si="30"/>
        <v>1844.4940000000001</v>
      </c>
      <c r="AJ71" s="145"/>
      <c r="AK71" s="111" t="s">
        <v>19</v>
      </c>
      <c r="AL71" s="490" t="s">
        <v>303</v>
      </c>
      <c r="AM71" s="491"/>
      <c r="AN71" s="491"/>
      <c r="AO71" s="159">
        <f t="shared" si="31"/>
        <v>1474.3880503144653</v>
      </c>
      <c r="AP71" s="159">
        <f t="shared" si="32"/>
        <v>182.49058823529415</v>
      </c>
      <c r="AQ71" s="159">
        <f t="shared" si="33"/>
        <v>61.483133333333335</v>
      </c>
      <c r="AT71" t="s">
        <v>386</v>
      </c>
      <c r="AU71" t="s">
        <v>388</v>
      </c>
      <c r="AV71" s="75"/>
    </row>
    <row r="72" spans="1:48">
      <c r="A72" s="145"/>
      <c r="B72" s="112"/>
      <c r="C72" s="490" t="s">
        <v>304</v>
      </c>
      <c r="D72" s="491"/>
      <c r="E72" s="491"/>
      <c r="F72" s="149">
        <f t="shared" si="37"/>
        <v>0</v>
      </c>
      <c r="G72" s="149">
        <f t="shared" si="65"/>
        <v>0</v>
      </c>
      <c r="H72" s="149">
        <f t="shared" si="66"/>
        <v>0</v>
      </c>
      <c r="I72" s="149">
        <f t="shared" si="67"/>
        <v>0</v>
      </c>
      <c r="J72" s="149">
        <f t="shared" si="68"/>
        <v>14.896000000000001</v>
      </c>
      <c r="K72" s="149">
        <f t="shared" si="69"/>
        <v>0</v>
      </c>
      <c r="L72" s="101">
        <f t="shared" si="41"/>
        <v>0</v>
      </c>
      <c r="M72" s="101">
        <f t="shared" si="42"/>
        <v>0</v>
      </c>
      <c r="N72" s="101">
        <f t="shared" si="43"/>
        <v>0</v>
      </c>
      <c r="O72" s="101">
        <f t="shared" si="44"/>
        <v>0</v>
      </c>
      <c r="P72" s="101">
        <f t="shared" si="70"/>
        <v>1.0640000000000001</v>
      </c>
      <c r="Q72" s="101">
        <f t="shared" si="71"/>
        <v>0</v>
      </c>
      <c r="R72" s="101">
        <f t="shared" si="46"/>
        <v>0</v>
      </c>
      <c r="S72" s="101">
        <f t="shared" si="47"/>
        <v>0</v>
      </c>
      <c r="T72" s="101">
        <f t="shared" si="48"/>
        <v>0</v>
      </c>
      <c r="U72" s="101">
        <f t="shared" si="49"/>
        <v>0</v>
      </c>
      <c r="V72" s="101">
        <f t="shared" si="72"/>
        <v>30.967999999999996</v>
      </c>
      <c r="W72" s="150">
        <f t="shared" si="73"/>
        <v>0</v>
      </c>
      <c r="Z72" s="145"/>
      <c r="AA72" s="112"/>
      <c r="AB72" s="490" t="s">
        <v>304</v>
      </c>
      <c r="AC72" s="491"/>
      <c r="AD72" s="491"/>
      <c r="AE72" s="34">
        <f t="shared" si="28"/>
        <v>14.896000000000001</v>
      </c>
      <c r="AF72" s="34">
        <f t="shared" si="29"/>
        <v>1.0640000000000001</v>
      </c>
      <c r="AG72" s="34">
        <f t="shared" si="30"/>
        <v>30.967999999999996</v>
      </c>
      <c r="AJ72" s="145"/>
      <c r="AK72" s="112"/>
      <c r="AL72" s="490" t="s">
        <v>304</v>
      </c>
      <c r="AM72" s="491"/>
      <c r="AN72" s="491"/>
      <c r="AO72" s="159">
        <f t="shared" si="31"/>
        <v>9.3685534591194966</v>
      </c>
      <c r="AP72" s="159">
        <f t="shared" si="32"/>
        <v>0.62588235294117656</v>
      </c>
      <c r="AQ72" s="159">
        <f t="shared" si="33"/>
        <v>1.0322666666666664</v>
      </c>
      <c r="AT72" t="s">
        <v>389</v>
      </c>
      <c r="AU72" t="s">
        <v>390</v>
      </c>
      <c r="AV72" s="75"/>
    </row>
    <row r="73" spans="1:48">
      <c r="A73" s="145"/>
      <c r="B73" s="112"/>
      <c r="C73" s="490" t="s">
        <v>305</v>
      </c>
      <c r="D73" s="491"/>
      <c r="E73" s="491"/>
      <c r="F73" s="149">
        <f t="shared" si="37"/>
        <v>0</v>
      </c>
      <c r="G73" s="149">
        <f t="shared" si="65"/>
        <v>0</v>
      </c>
      <c r="H73" s="149">
        <f t="shared" si="66"/>
        <v>0</v>
      </c>
      <c r="I73" s="149">
        <f t="shared" si="67"/>
        <v>0</v>
      </c>
      <c r="J73" s="149">
        <f t="shared" si="68"/>
        <v>46.018000000000001</v>
      </c>
      <c r="K73" s="149">
        <f t="shared" si="69"/>
        <v>637.83000000000004</v>
      </c>
      <c r="L73" s="101">
        <f t="shared" si="41"/>
        <v>0</v>
      </c>
      <c r="M73" s="101">
        <f t="shared" si="42"/>
        <v>0</v>
      </c>
      <c r="N73" s="101">
        <f t="shared" si="43"/>
        <v>0</v>
      </c>
      <c r="O73" s="101">
        <f t="shared" si="44"/>
        <v>0</v>
      </c>
      <c r="P73" s="101">
        <f t="shared" si="70"/>
        <v>3.2869999999999999</v>
      </c>
      <c r="Q73" s="101">
        <f t="shared" si="71"/>
        <v>87.281999999999996</v>
      </c>
      <c r="R73" s="101">
        <f t="shared" si="46"/>
        <v>0</v>
      </c>
      <c r="S73" s="101">
        <f t="shared" si="47"/>
        <v>0</v>
      </c>
      <c r="T73" s="101">
        <f t="shared" si="48"/>
        <v>0</v>
      </c>
      <c r="U73" s="101">
        <f t="shared" si="49"/>
        <v>0</v>
      </c>
      <c r="V73" s="101">
        <f t="shared" si="72"/>
        <v>95.668999999999983</v>
      </c>
      <c r="W73" s="150">
        <f t="shared" si="73"/>
        <v>440.88600000000002</v>
      </c>
      <c r="Z73" s="145"/>
      <c r="AA73" s="112"/>
      <c r="AB73" s="490" t="s">
        <v>305</v>
      </c>
      <c r="AC73" s="491"/>
      <c r="AD73" s="491"/>
      <c r="AE73" s="34">
        <f t="shared" si="28"/>
        <v>683.84800000000007</v>
      </c>
      <c r="AF73" s="34">
        <f t="shared" si="29"/>
        <v>90.569000000000003</v>
      </c>
      <c r="AG73" s="34">
        <f t="shared" si="30"/>
        <v>536.55500000000006</v>
      </c>
      <c r="AJ73" s="145"/>
      <c r="AK73" s="112"/>
      <c r="AL73" s="490" t="s">
        <v>305</v>
      </c>
      <c r="AM73" s="491"/>
      <c r="AN73" s="491"/>
      <c r="AO73" s="159">
        <f t="shared" si="31"/>
        <v>430.09308176100632</v>
      </c>
      <c r="AP73" s="159">
        <f t="shared" si="32"/>
        <v>53.275882352941181</v>
      </c>
      <c r="AQ73" s="159">
        <f t="shared" si="33"/>
        <v>17.88516666666667</v>
      </c>
      <c r="AT73" t="s">
        <v>391</v>
      </c>
      <c r="AU73" t="s">
        <v>392</v>
      </c>
      <c r="AV73" s="75"/>
    </row>
    <row r="74" spans="1:48" ht="17.5" thickBot="1">
      <c r="A74" s="146"/>
      <c r="B74" s="147"/>
      <c r="C74" s="492" t="s">
        <v>47</v>
      </c>
      <c r="D74" s="493"/>
      <c r="E74" s="493"/>
      <c r="F74" s="151">
        <f t="shared" si="37"/>
        <v>0</v>
      </c>
      <c r="G74" s="151">
        <f t="shared" si="65"/>
        <v>0</v>
      </c>
      <c r="H74" s="151">
        <f t="shared" si="66"/>
        <v>0</v>
      </c>
      <c r="I74" s="151">
        <f t="shared" si="67"/>
        <v>0</v>
      </c>
      <c r="J74" s="151">
        <f t="shared" si="68"/>
        <v>3987.0740000000001</v>
      </c>
      <c r="K74" s="151">
        <f t="shared" si="69"/>
        <v>13306.935000000001</v>
      </c>
      <c r="L74" s="152">
        <f t="shared" si="41"/>
        <v>0</v>
      </c>
      <c r="M74" s="152">
        <f t="shared" si="42"/>
        <v>0</v>
      </c>
      <c r="N74" s="152">
        <f t="shared" si="43"/>
        <v>0</v>
      </c>
      <c r="O74" s="152">
        <f t="shared" si="44"/>
        <v>0</v>
      </c>
      <c r="P74" s="152">
        <f t="shared" si="70"/>
        <v>284.791</v>
      </c>
      <c r="Q74" s="152">
        <f t="shared" si="71"/>
        <v>1820.9490000000001</v>
      </c>
      <c r="R74" s="152">
        <f t="shared" si="46"/>
        <v>0</v>
      </c>
      <c r="S74" s="152">
        <f t="shared" si="47"/>
        <v>0</v>
      </c>
      <c r="T74" s="152">
        <f t="shared" si="48"/>
        <v>0</v>
      </c>
      <c r="U74" s="152">
        <f t="shared" si="49"/>
        <v>0</v>
      </c>
      <c r="V74" s="152">
        <f t="shared" si="72"/>
        <v>8288.9169999999995</v>
      </c>
      <c r="W74" s="153">
        <f t="shared" si="73"/>
        <v>9198.1270000000004</v>
      </c>
      <c r="Z74" s="146"/>
      <c r="AA74" s="147"/>
      <c r="AB74" s="492" t="s">
        <v>47</v>
      </c>
      <c r="AC74" s="493"/>
      <c r="AD74" s="493"/>
      <c r="AE74" s="34">
        <f t="shared" si="28"/>
        <v>17294.009000000002</v>
      </c>
      <c r="AF74" s="34">
        <f t="shared" si="29"/>
        <v>2105.7400000000002</v>
      </c>
      <c r="AG74" s="34">
        <f t="shared" si="30"/>
        <v>17487.044000000002</v>
      </c>
      <c r="AJ74" s="146"/>
      <c r="AK74" s="147"/>
      <c r="AL74" s="492" t="s">
        <v>47</v>
      </c>
      <c r="AM74" s="493"/>
      <c r="AN74" s="493"/>
      <c r="AO74" s="159">
        <f t="shared" si="31"/>
        <v>10876.735220125787</v>
      </c>
      <c r="AP74" s="159">
        <f t="shared" si="32"/>
        <v>1238.6705882352942</v>
      </c>
      <c r="AQ74" s="159">
        <f t="shared" si="33"/>
        <v>582.90146666666669</v>
      </c>
      <c r="AT74" t="s">
        <v>391</v>
      </c>
      <c r="AU74" t="s">
        <v>393</v>
      </c>
      <c r="AV74" s="75"/>
    </row>
    <row r="75" spans="1:48">
      <c r="AT75" t="s">
        <v>394</v>
      </c>
      <c r="AU75" t="s">
        <v>395</v>
      </c>
      <c r="AV75" s="75"/>
    </row>
    <row r="76" spans="1:48" ht="23">
      <c r="A76" s="154" t="s">
        <v>331</v>
      </c>
      <c r="Z76" s="154" t="s">
        <v>337</v>
      </c>
      <c r="AJ76" s="102" t="s">
        <v>339</v>
      </c>
      <c r="AT76" t="s">
        <v>396</v>
      </c>
      <c r="AU76" t="s">
        <v>397</v>
      </c>
      <c r="AV76" s="75"/>
    </row>
    <row r="77" spans="1:48">
      <c r="A77" s="32" t="s">
        <v>308</v>
      </c>
      <c r="Z77" s="32" t="s">
        <v>308</v>
      </c>
      <c r="AJ77" s="32" t="s">
        <v>308</v>
      </c>
      <c r="AT77" t="s">
        <v>396</v>
      </c>
      <c r="AU77" t="s">
        <v>398</v>
      </c>
      <c r="AV77" s="75"/>
    </row>
    <row r="78" spans="1:48" ht="21" thickBot="1">
      <c r="F78" s="655" t="s">
        <v>319</v>
      </c>
      <c r="G78" s="655"/>
      <c r="H78" s="655"/>
      <c r="I78" s="655"/>
      <c r="J78" s="655"/>
      <c r="K78" s="655"/>
      <c r="L78" s="655" t="s">
        <v>320</v>
      </c>
      <c r="M78" s="655"/>
      <c r="N78" s="655"/>
      <c r="O78" s="655"/>
      <c r="P78" s="655"/>
      <c r="Q78" s="655"/>
      <c r="R78" s="655" t="s">
        <v>321</v>
      </c>
      <c r="S78" s="655"/>
      <c r="T78" s="655"/>
      <c r="U78" s="655"/>
      <c r="V78" s="655"/>
      <c r="W78" s="655"/>
      <c r="AE78" s="32" t="s">
        <v>334</v>
      </c>
      <c r="AF78" s="32" t="s">
        <v>335</v>
      </c>
      <c r="AG78" s="32" t="s">
        <v>321</v>
      </c>
      <c r="AO78" s="32" t="s">
        <v>334</v>
      </c>
      <c r="AP78" s="32" t="s">
        <v>335</v>
      </c>
      <c r="AQ78" s="32" t="s">
        <v>321</v>
      </c>
    </row>
    <row r="79" spans="1:48">
      <c r="A79" s="484" t="s">
        <v>307</v>
      </c>
      <c r="B79" s="485"/>
      <c r="C79" s="485"/>
      <c r="D79" s="485"/>
      <c r="E79" s="486"/>
      <c r="F79" s="142" t="s">
        <v>165</v>
      </c>
      <c r="G79" s="143"/>
      <c r="H79" s="143"/>
      <c r="I79" s="485" t="s">
        <v>328</v>
      </c>
      <c r="J79" s="485" t="s">
        <v>329</v>
      </c>
      <c r="K79" s="485" t="s">
        <v>330</v>
      </c>
      <c r="L79" s="143"/>
      <c r="M79" s="143"/>
      <c r="N79" s="143"/>
      <c r="O79" s="485" t="s">
        <v>328</v>
      </c>
      <c r="P79" s="485" t="s">
        <v>329</v>
      </c>
      <c r="Q79" s="485" t="s">
        <v>330</v>
      </c>
      <c r="R79" s="143"/>
      <c r="S79" s="143"/>
      <c r="T79" s="144"/>
      <c r="U79" s="485" t="s">
        <v>328</v>
      </c>
      <c r="V79" s="485" t="s">
        <v>329</v>
      </c>
      <c r="W79" s="657" t="s">
        <v>330</v>
      </c>
      <c r="Z79" s="484" t="s">
        <v>307</v>
      </c>
      <c r="AA79" s="485"/>
      <c r="AB79" s="485"/>
      <c r="AC79" s="485"/>
      <c r="AD79" s="486"/>
      <c r="AJ79" s="484" t="s">
        <v>307</v>
      </c>
      <c r="AK79" s="485"/>
      <c r="AL79" s="485"/>
      <c r="AM79" s="485"/>
      <c r="AN79" s="486"/>
    </row>
    <row r="80" spans="1:48" ht="17.5" thickBot="1">
      <c r="A80" s="487"/>
      <c r="B80" s="488"/>
      <c r="C80" s="488"/>
      <c r="D80" s="488"/>
      <c r="E80" s="489"/>
      <c r="F80" s="148" t="s">
        <v>44</v>
      </c>
      <c r="G80" s="148" t="s">
        <v>45</v>
      </c>
      <c r="H80" s="148" t="s">
        <v>46</v>
      </c>
      <c r="I80" s="656"/>
      <c r="J80" s="656"/>
      <c r="K80" s="656"/>
      <c r="L80" s="148" t="s">
        <v>44</v>
      </c>
      <c r="M80" s="148" t="s">
        <v>45</v>
      </c>
      <c r="N80" s="148" t="s">
        <v>46</v>
      </c>
      <c r="O80" s="656"/>
      <c r="P80" s="656"/>
      <c r="Q80" s="656"/>
      <c r="R80" s="148" t="s">
        <v>44</v>
      </c>
      <c r="S80" s="148" t="s">
        <v>45</v>
      </c>
      <c r="T80" s="148" t="s">
        <v>46</v>
      </c>
      <c r="U80" s="656"/>
      <c r="V80" s="656"/>
      <c r="W80" s="658"/>
      <c r="Z80" s="487"/>
      <c r="AA80" s="488"/>
      <c r="AB80" s="488"/>
      <c r="AC80" s="488"/>
      <c r="AD80" s="489"/>
      <c r="AJ80" s="487"/>
      <c r="AK80" s="488"/>
      <c r="AL80" s="488"/>
      <c r="AM80" s="488"/>
      <c r="AN80" s="489"/>
    </row>
    <row r="81" spans="1:43" ht="17.5" thickTop="1">
      <c r="A81" s="145">
        <v>2027</v>
      </c>
      <c r="B81" s="110" t="s">
        <v>289</v>
      </c>
      <c r="C81" s="110"/>
      <c r="D81" s="490" t="s">
        <v>324</v>
      </c>
      <c r="E81" s="491"/>
      <c r="F81" s="149">
        <f>F39*P$22</f>
        <v>177.85900000000001</v>
      </c>
      <c r="G81" s="149">
        <f t="shared" ref="G81" si="74">G39*Q$22</f>
        <v>9.1000000000000014</v>
      </c>
      <c r="H81" s="149">
        <f t="shared" ref="H81" si="75">H39*R$22</f>
        <v>140.71799999999999</v>
      </c>
      <c r="I81" s="149">
        <f t="shared" ref="I81" si="76">I39*S$22</f>
        <v>111.32000000000001</v>
      </c>
      <c r="J81" s="149">
        <f t="shared" ref="J81" si="77">J39*T$22</f>
        <v>0</v>
      </c>
      <c r="K81" s="149">
        <f t="shared" ref="K81" si="78">K39*U$22</f>
        <v>0</v>
      </c>
      <c r="L81" s="149">
        <f>F39*P$23</f>
        <v>25.783000000000001</v>
      </c>
      <c r="M81" s="149">
        <f>G39*Q$23</f>
        <v>3.12</v>
      </c>
      <c r="N81" s="149">
        <f>H39*R$23</f>
        <v>34.930000000000007</v>
      </c>
      <c r="O81" s="149">
        <f>I39*S$23</f>
        <v>32.56</v>
      </c>
      <c r="P81" s="149">
        <f t="shared" ref="P81" si="79">J39*T$23</f>
        <v>0</v>
      </c>
      <c r="Q81" s="149">
        <f t="shared" ref="Q81" si="80">K39*U$23</f>
        <v>0</v>
      </c>
      <c r="R81" s="101">
        <f>F39*P$24</f>
        <v>175.23700000000002</v>
      </c>
      <c r="S81" s="101">
        <f>G39*Q$24</f>
        <v>50.83</v>
      </c>
      <c r="T81" s="101">
        <f>H39*R$24</f>
        <v>203.59199999999998</v>
      </c>
      <c r="U81" s="101">
        <f>I39*S$24</f>
        <v>184.79999999999998</v>
      </c>
      <c r="V81" s="101">
        <f t="shared" ref="V81" si="81">J39*T$24</f>
        <v>0</v>
      </c>
      <c r="W81" s="150">
        <f t="shared" ref="W81" si="82">K39*U$24</f>
        <v>0</v>
      </c>
      <c r="Z81" s="145">
        <v>2027</v>
      </c>
      <c r="AA81" s="110" t="s">
        <v>289</v>
      </c>
      <c r="AB81" s="110"/>
      <c r="AC81" s="490" t="s">
        <v>324</v>
      </c>
      <c r="AD81" s="491"/>
      <c r="AE81" s="34">
        <f>SUM(F81:K81)</f>
        <v>438.99700000000001</v>
      </c>
      <c r="AF81" s="34">
        <f t="shared" ref="AF81:AF92" si="83">SUM(L81:Q81)</f>
        <v>96.393000000000015</v>
      </c>
      <c r="AG81" s="34">
        <f t="shared" ref="AG81:AG92" si="84">SUM(R81:W81)</f>
        <v>614.45899999999995</v>
      </c>
      <c r="AJ81" s="145">
        <v>2027</v>
      </c>
      <c r="AK81" s="110" t="s">
        <v>289</v>
      </c>
      <c r="AL81" s="110"/>
      <c r="AM81" s="490" t="s">
        <v>324</v>
      </c>
      <c r="AN81" s="491"/>
      <c r="AO81" s="159">
        <f t="shared" ref="AO81:AO92" si="85">AE81/$P$31</f>
        <v>276.0987421383648</v>
      </c>
      <c r="AP81" s="159">
        <f t="shared" ref="AP81:AP92" si="86">AF81/$Q$31</f>
        <v>56.701764705882361</v>
      </c>
      <c r="AQ81" s="159">
        <f t="shared" ref="AQ81:AQ92" si="87">AG81/$R$31</f>
        <v>20.481966666666665</v>
      </c>
    </row>
    <row r="82" spans="1:43">
      <c r="A82" s="145"/>
      <c r="B82" s="111" t="s">
        <v>290</v>
      </c>
      <c r="C82" s="112"/>
      <c r="D82" s="494" t="s">
        <v>322</v>
      </c>
      <c r="E82" s="41" t="s">
        <v>296</v>
      </c>
      <c r="F82" s="149">
        <f>F43*P$22</f>
        <v>3870.9770000000003</v>
      </c>
      <c r="G82" s="149">
        <f t="shared" ref="G82:G83" si="88">G43*Q$22</f>
        <v>198.87000000000003</v>
      </c>
      <c r="H82" s="149">
        <f t="shared" ref="H82:H83" si="89">H43*R$22</f>
        <v>3063.3659999999995</v>
      </c>
      <c r="I82" s="149">
        <f t="shared" ref="I82:I83" si="90">I43*S$22</f>
        <v>3003.616</v>
      </c>
      <c r="J82" s="149">
        <f t="shared" ref="J82:J83" si="91">J43*T$22</f>
        <v>0</v>
      </c>
      <c r="K82" s="149">
        <f t="shared" ref="K82:K83" si="92">K43*U$22</f>
        <v>0</v>
      </c>
      <c r="L82" s="101">
        <f t="shared" ref="L82:O83" si="93">F43*P$23</f>
        <v>561.149</v>
      </c>
      <c r="M82" s="101">
        <f t="shared" si="93"/>
        <v>68.183999999999997</v>
      </c>
      <c r="N82" s="101">
        <f t="shared" si="93"/>
        <v>760.41000000000008</v>
      </c>
      <c r="O82" s="101">
        <f t="shared" si="93"/>
        <v>878.52800000000013</v>
      </c>
      <c r="P82" s="101">
        <f t="shared" ref="P82:P83" si="94">J43*T$23</f>
        <v>0</v>
      </c>
      <c r="Q82" s="101">
        <f t="shared" ref="Q82:Q83" si="95">K43*U$23</f>
        <v>0</v>
      </c>
      <c r="R82" s="101">
        <f t="shared" ref="R82:U83" si="96">F43*P$24</f>
        <v>3813.9110000000001</v>
      </c>
      <c r="S82" s="101">
        <f t="shared" si="96"/>
        <v>1110.8310000000001</v>
      </c>
      <c r="T82" s="101">
        <f t="shared" si="96"/>
        <v>4432.1039999999994</v>
      </c>
      <c r="U82" s="101">
        <f t="shared" si="96"/>
        <v>4986.24</v>
      </c>
      <c r="V82" s="101">
        <f t="shared" ref="V82:V83" si="97">J43*T$24</f>
        <v>0</v>
      </c>
      <c r="W82" s="150">
        <f t="shared" ref="W82:W83" si="98">K43*U$24</f>
        <v>0</v>
      </c>
      <c r="Z82" s="145"/>
      <c r="AA82" s="111" t="s">
        <v>290</v>
      </c>
      <c r="AB82" s="112"/>
      <c r="AC82" s="494" t="s">
        <v>322</v>
      </c>
      <c r="AD82" s="41" t="s">
        <v>296</v>
      </c>
      <c r="AE82" s="34">
        <f t="shared" ref="AE82:AE92" si="99">SUM(F82:K82)</f>
        <v>10136.829</v>
      </c>
      <c r="AF82" s="34">
        <f t="shared" si="83"/>
        <v>2268.2710000000002</v>
      </c>
      <c r="AG82" s="34">
        <f t="shared" si="84"/>
        <v>14343.085999999999</v>
      </c>
      <c r="AJ82" s="145"/>
      <c r="AK82" s="111" t="s">
        <v>290</v>
      </c>
      <c r="AL82" s="112"/>
      <c r="AM82" s="494" t="s">
        <v>322</v>
      </c>
      <c r="AN82" s="41" t="s">
        <v>296</v>
      </c>
      <c r="AO82" s="159">
        <f t="shared" si="85"/>
        <v>6375.3641509433955</v>
      </c>
      <c r="AP82" s="159">
        <f t="shared" si="86"/>
        <v>1334.2770588235296</v>
      </c>
      <c r="AQ82" s="159">
        <f t="shared" si="87"/>
        <v>478.10286666666667</v>
      </c>
    </row>
    <row r="83" spans="1:43" ht="29">
      <c r="A83" s="145"/>
      <c r="B83" s="111" t="s">
        <v>19</v>
      </c>
      <c r="C83" s="112"/>
      <c r="D83" s="495"/>
      <c r="E83" s="41" t="s">
        <v>297</v>
      </c>
      <c r="F83" s="149">
        <f>F44*P$22</f>
        <v>2909.643</v>
      </c>
      <c r="G83" s="149">
        <f t="shared" si="88"/>
        <v>149.52000000000001</v>
      </c>
      <c r="H83" s="149">
        <f t="shared" si="89"/>
        <v>2302.5299999999997</v>
      </c>
      <c r="I83" s="149">
        <f t="shared" si="90"/>
        <v>1822.6120000000001</v>
      </c>
      <c r="J83" s="149">
        <f t="shared" si="91"/>
        <v>0</v>
      </c>
      <c r="K83" s="149">
        <f t="shared" si="92"/>
        <v>0</v>
      </c>
      <c r="L83" s="101">
        <f t="shared" si="93"/>
        <v>421.79100000000005</v>
      </c>
      <c r="M83" s="101">
        <f t="shared" si="93"/>
        <v>51.264000000000003</v>
      </c>
      <c r="N83" s="101">
        <f t="shared" si="93"/>
        <v>571.55000000000007</v>
      </c>
      <c r="O83" s="101">
        <f t="shared" si="93"/>
        <v>533.09600000000012</v>
      </c>
      <c r="P83" s="101">
        <f t="shared" si="94"/>
        <v>0</v>
      </c>
      <c r="Q83" s="101">
        <f t="shared" si="95"/>
        <v>0</v>
      </c>
      <c r="R83" s="101">
        <f t="shared" si="96"/>
        <v>2866.7490000000003</v>
      </c>
      <c r="S83" s="101">
        <f t="shared" si="96"/>
        <v>835.17600000000004</v>
      </c>
      <c r="T83" s="101">
        <f t="shared" si="96"/>
        <v>3331.3199999999997</v>
      </c>
      <c r="U83" s="101">
        <f t="shared" si="96"/>
        <v>3025.68</v>
      </c>
      <c r="V83" s="101">
        <f t="shared" si="97"/>
        <v>0</v>
      </c>
      <c r="W83" s="150">
        <f t="shared" si="98"/>
        <v>0</v>
      </c>
      <c r="Z83" s="145"/>
      <c r="AA83" s="111" t="s">
        <v>19</v>
      </c>
      <c r="AB83" s="112"/>
      <c r="AC83" s="495"/>
      <c r="AD83" s="41" t="s">
        <v>297</v>
      </c>
      <c r="AE83" s="34">
        <f t="shared" si="99"/>
        <v>7184.3049999999994</v>
      </c>
      <c r="AF83" s="34">
        <f t="shared" si="83"/>
        <v>1577.701</v>
      </c>
      <c r="AG83" s="34">
        <f t="shared" si="84"/>
        <v>10058.924999999999</v>
      </c>
      <c r="AJ83" s="145"/>
      <c r="AK83" s="111" t="s">
        <v>19</v>
      </c>
      <c r="AL83" s="112"/>
      <c r="AM83" s="495"/>
      <c r="AN83" s="41" t="s">
        <v>297</v>
      </c>
      <c r="AO83" s="159">
        <f t="shared" si="85"/>
        <v>4518.4308176100621</v>
      </c>
      <c r="AP83" s="159">
        <f t="shared" si="86"/>
        <v>928.05941176470594</v>
      </c>
      <c r="AQ83" s="159">
        <f t="shared" si="87"/>
        <v>335.29749999999996</v>
      </c>
    </row>
    <row r="84" spans="1:43" ht="29">
      <c r="A84" s="145"/>
      <c r="B84" s="112"/>
      <c r="C84" s="112"/>
      <c r="D84" s="111" t="s">
        <v>323</v>
      </c>
      <c r="E84" s="41" t="s">
        <v>297</v>
      </c>
      <c r="F84" s="149">
        <f t="shared" ref="F84:F92" si="100">F46*P$22</f>
        <v>468.05</v>
      </c>
      <c r="G84" s="149">
        <f t="shared" ref="G84:G92" si="101">G46*Q$22</f>
        <v>24.01</v>
      </c>
      <c r="H84" s="149">
        <f t="shared" ref="H84:H92" si="102">H46*R$22</f>
        <v>370.26599999999996</v>
      </c>
      <c r="I84" s="149">
        <f t="shared" ref="I84:I92" si="103">I46*S$22</f>
        <v>293.22699999999998</v>
      </c>
      <c r="J84" s="149">
        <f t="shared" ref="J84:J92" si="104">J46*T$22</f>
        <v>0</v>
      </c>
      <c r="K84" s="149">
        <f t="shared" ref="K84:K92" si="105">K46*U$22</f>
        <v>0</v>
      </c>
      <c r="L84" s="101">
        <f t="shared" ref="L84:L92" si="106">F46*P$23</f>
        <v>67.850000000000009</v>
      </c>
      <c r="M84" s="101">
        <f t="shared" ref="M84:M92" si="107">G46*Q$23</f>
        <v>8.2319999999999993</v>
      </c>
      <c r="N84" s="101">
        <f t="shared" ref="N84:N92" si="108">H46*R$23</f>
        <v>91.910000000000011</v>
      </c>
      <c r="O84" s="101">
        <f t="shared" ref="O84:O92" si="109">I46*S$23</f>
        <v>85.766000000000005</v>
      </c>
      <c r="P84" s="101">
        <f t="shared" ref="P84:P92" si="110">J46*T$23</f>
        <v>0</v>
      </c>
      <c r="Q84" s="101">
        <f t="shared" ref="Q84:Q92" si="111">K46*U$23</f>
        <v>0</v>
      </c>
      <c r="R84" s="101">
        <f t="shared" ref="R84:R92" si="112">F46*P$24</f>
        <v>461.15000000000003</v>
      </c>
      <c r="S84" s="101">
        <f t="shared" ref="S84:S92" si="113">G46*Q$24</f>
        <v>134.113</v>
      </c>
      <c r="T84" s="101">
        <f t="shared" ref="T84:T92" si="114">H46*R$24</f>
        <v>535.70399999999995</v>
      </c>
      <c r="U84" s="101">
        <f t="shared" ref="U84:U92" si="115">I46*S$24</f>
        <v>486.78</v>
      </c>
      <c r="V84" s="101">
        <f t="shared" ref="V84:V92" si="116">J46*T$24</f>
        <v>0</v>
      </c>
      <c r="W84" s="150">
        <f t="shared" ref="W84:W91" si="117">K46*U$24</f>
        <v>0</v>
      </c>
      <c r="Z84" s="145"/>
      <c r="AA84" s="112"/>
      <c r="AB84" s="112"/>
      <c r="AC84" s="111" t="s">
        <v>323</v>
      </c>
      <c r="AD84" s="41" t="s">
        <v>297</v>
      </c>
      <c r="AE84" s="34">
        <f t="shared" si="99"/>
        <v>1155.5529999999999</v>
      </c>
      <c r="AF84" s="34">
        <f t="shared" si="83"/>
        <v>253.75800000000004</v>
      </c>
      <c r="AG84" s="34">
        <f t="shared" si="84"/>
        <v>1617.7470000000001</v>
      </c>
      <c r="AJ84" s="145"/>
      <c r="AK84" s="112"/>
      <c r="AL84" s="112"/>
      <c r="AM84" s="111" t="s">
        <v>323</v>
      </c>
      <c r="AN84" s="41" t="s">
        <v>297</v>
      </c>
      <c r="AO84" s="159">
        <f t="shared" si="85"/>
        <v>726.76289308176092</v>
      </c>
      <c r="AP84" s="159">
        <f t="shared" si="86"/>
        <v>149.26941176470592</v>
      </c>
      <c r="AQ84" s="159">
        <f t="shared" si="87"/>
        <v>53.924900000000001</v>
      </c>
    </row>
    <row r="85" spans="1:43" ht="16.5" customHeight="1">
      <c r="A85" s="145"/>
      <c r="B85" s="112"/>
      <c r="C85" s="113"/>
      <c r="D85" s="113"/>
      <c r="E85" s="41" t="s">
        <v>299</v>
      </c>
      <c r="F85" s="149">
        <f t="shared" si="100"/>
        <v>818.88400000000001</v>
      </c>
      <c r="G85" s="149">
        <f t="shared" si="101"/>
        <v>42.070000000000007</v>
      </c>
      <c r="H85" s="149">
        <f t="shared" si="102"/>
        <v>648.03599999999994</v>
      </c>
      <c r="I85" s="149">
        <f t="shared" si="103"/>
        <v>513.08400000000006</v>
      </c>
      <c r="J85" s="149">
        <f t="shared" si="104"/>
        <v>0</v>
      </c>
      <c r="K85" s="149">
        <f t="shared" si="105"/>
        <v>0</v>
      </c>
      <c r="L85" s="101">
        <f t="shared" si="106"/>
        <v>118.70800000000001</v>
      </c>
      <c r="M85" s="101">
        <f t="shared" si="107"/>
        <v>14.423999999999999</v>
      </c>
      <c r="N85" s="101">
        <f t="shared" si="108"/>
        <v>160.86000000000001</v>
      </c>
      <c r="O85" s="101">
        <f t="shared" si="109"/>
        <v>150.07200000000003</v>
      </c>
      <c r="P85" s="101">
        <f t="shared" si="110"/>
        <v>0</v>
      </c>
      <c r="Q85" s="101">
        <f t="shared" si="111"/>
        <v>0</v>
      </c>
      <c r="R85" s="101">
        <f t="shared" si="112"/>
        <v>806.81200000000001</v>
      </c>
      <c r="S85" s="101">
        <f t="shared" si="113"/>
        <v>234.99100000000001</v>
      </c>
      <c r="T85" s="101">
        <f t="shared" si="114"/>
        <v>937.58399999999995</v>
      </c>
      <c r="U85" s="101">
        <f t="shared" si="115"/>
        <v>851.76</v>
      </c>
      <c r="V85" s="101">
        <f t="shared" si="116"/>
        <v>0</v>
      </c>
      <c r="W85" s="150">
        <f t="shared" si="117"/>
        <v>0</v>
      </c>
      <c r="Z85" s="145"/>
      <c r="AA85" s="112"/>
      <c r="AB85" s="113"/>
      <c r="AC85" s="113"/>
      <c r="AD85" s="41" t="s">
        <v>299</v>
      </c>
      <c r="AE85" s="34">
        <f t="shared" si="99"/>
        <v>2022.0740000000001</v>
      </c>
      <c r="AF85" s="34">
        <f t="shared" si="83"/>
        <v>444.06400000000008</v>
      </c>
      <c r="AG85" s="34">
        <f t="shared" si="84"/>
        <v>2831.1469999999999</v>
      </c>
      <c r="AJ85" s="145"/>
      <c r="AK85" s="112"/>
      <c r="AL85" s="113"/>
      <c r="AM85" s="113"/>
      <c r="AN85" s="41" t="s">
        <v>299</v>
      </c>
      <c r="AO85" s="159">
        <f t="shared" si="85"/>
        <v>1271.7446540880503</v>
      </c>
      <c r="AP85" s="159">
        <f t="shared" si="86"/>
        <v>261.21411764705886</v>
      </c>
      <c r="AQ85" s="159">
        <f t="shared" si="87"/>
        <v>94.371566666666666</v>
      </c>
    </row>
    <row r="86" spans="1:43" ht="16.5" customHeight="1">
      <c r="A86" s="145"/>
      <c r="B86" s="113"/>
      <c r="C86" s="490" t="s">
        <v>13</v>
      </c>
      <c r="D86" s="491"/>
      <c r="E86" s="491"/>
      <c r="F86" s="149">
        <f t="shared" si="100"/>
        <v>0</v>
      </c>
      <c r="G86" s="149">
        <f t="shared" si="101"/>
        <v>0</v>
      </c>
      <c r="H86" s="149">
        <f t="shared" si="102"/>
        <v>0</v>
      </c>
      <c r="I86" s="149">
        <f t="shared" si="103"/>
        <v>0</v>
      </c>
      <c r="J86" s="149">
        <f t="shared" si="104"/>
        <v>435.97400000000005</v>
      </c>
      <c r="K86" s="149">
        <f t="shared" si="105"/>
        <v>4939.05</v>
      </c>
      <c r="L86" s="101">
        <f t="shared" si="106"/>
        <v>0</v>
      </c>
      <c r="M86" s="101">
        <f t="shared" si="107"/>
        <v>0</v>
      </c>
      <c r="N86" s="101">
        <f t="shared" si="108"/>
        <v>0</v>
      </c>
      <c r="O86" s="101">
        <f t="shared" si="109"/>
        <v>0</v>
      </c>
      <c r="P86" s="101">
        <f t="shared" si="110"/>
        <v>31.140999999999998</v>
      </c>
      <c r="Q86" s="101">
        <f t="shared" si="111"/>
        <v>675.87</v>
      </c>
      <c r="R86" s="101">
        <f t="shared" si="112"/>
        <v>0</v>
      </c>
      <c r="S86" s="101">
        <f t="shared" si="113"/>
        <v>0</v>
      </c>
      <c r="T86" s="101">
        <f t="shared" si="114"/>
        <v>0</v>
      </c>
      <c r="U86" s="101">
        <f t="shared" si="115"/>
        <v>0</v>
      </c>
      <c r="V86" s="101">
        <f t="shared" si="116"/>
        <v>906.36699999999985</v>
      </c>
      <c r="W86" s="150">
        <f t="shared" si="117"/>
        <v>3414.01</v>
      </c>
      <c r="Z86" s="145"/>
      <c r="AA86" s="113"/>
      <c r="AB86" s="490" t="s">
        <v>13</v>
      </c>
      <c r="AC86" s="491"/>
      <c r="AD86" s="491"/>
      <c r="AE86" s="34">
        <f t="shared" si="99"/>
        <v>5375.0240000000003</v>
      </c>
      <c r="AF86" s="34">
        <f t="shared" si="83"/>
        <v>707.01099999999997</v>
      </c>
      <c r="AG86" s="34">
        <f t="shared" si="84"/>
        <v>4320.3770000000004</v>
      </c>
      <c r="AJ86" s="145"/>
      <c r="AK86" s="113"/>
      <c r="AL86" s="490" t="s">
        <v>13</v>
      </c>
      <c r="AM86" s="491"/>
      <c r="AN86" s="491"/>
      <c r="AO86" s="159">
        <f t="shared" si="85"/>
        <v>3380.5182389937108</v>
      </c>
      <c r="AP86" s="159">
        <f t="shared" si="86"/>
        <v>415.88882352941175</v>
      </c>
      <c r="AQ86" s="159">
        <f t="shared" si="87"/>
        <v>144.01256666666669</v>
      </c>
    </row>
    <row r="87" spans="1:43">
      <c r="A87" s="145"/>
      <c r="B87" s="110" t="s">
        <v>300</v>
      </c>
      <c r="C87" s="490" t="s">
        <v>301</v>
      </c>
      <c r="D87" s="491"/>
      <c r="E87" s="491"/>
      <c r="F87" s="149">
        <f t="shared" si="100"/>
        <v>0</v>
      </c>
      <c r="G87" s="149">
        <f t="shared" si="101"/>
        <v>0</v>
      </c>
      <c r="H87" s="149">
        <f t="shared" si="102"/>
        <v>0</v>
      </c>
      <c r="I87" s="149">
        <f t="shared" si="103"/>
        <v>0</v>
      </c>
      <c r="J87" s="149">
        <f t="shared" si="104"/>
        <v>7656.2780000000002</v>
      </c>
      <c r="K87" s="149">
        <f t="shared" si="105"/>
        <v>30996.885000000002</v>
      </c>
      <c r="L87" s="101">
        <f t="shared" si="106"/>
        <v>0</v>
      </c>
      <c r="M87" s="101">
        <f t="shared" si="107"/>
        <v>0</v>
      </c>
      <c r="N87" s="101">
        <f t="shared" si="108"/>
        <v>0</v>
      </c>
      <c r="O87" s="101">
        <f t="shared" si="109"/>
        <v>0</v>
      </c>
      <c r="P87" s="101">
        <f t="shared" si="110"/>
        <v>546.87699999999995</v>
      </c>
      <c r="Q87" s="101">
        <f t="shared" si="111"/>
        <v>4241.6790000000001</v>
      </c>
      <c r="R87" s="101">
        <f t="shared" si="112"/>
        <v>0</v>
      </c>
      <c r="S87" s="101">
        <f t="shared" si="113"/>
        <v>0</v>
      </c>
      <c r="T87" s="101">
        <f t="shared" si="114"/>
        <v>0</v>
      </c>
      <c r="U87" s="101">
        <f t="shared" si="115"/>
        <v>0</v>
      </c>
      <c r="V87" s="101">
        <f t="shared" si="116"/>
        <v>15916.998999999998</v>
      </c>
      <c r="W87" s="150">
        <f t="shared" si="117"/>
        <v>21425.917000000001</v>
      </c>
      <c r="Z87" s="145"/>
      <c r="AA87" s="110" t="s">
        <v>300</v>
      </c>
      <c r="AB87" s="490" t="s">
        <v>301</v>
      </c>
      <c r="AC87" s="491"/>
      <c r="AD87" s="491"/>
      <c r="AE87" s="34">
        <f t="shared" si="99"/>
        <v>38653.163</v>
      </c>
      <c r="AF87" s="34">
        <f t="shared" si="83"/>
        <v>4788.5560000000005</v>
      </c>
      <c r="AG87" s="34">
        <f t="shared" si="84"/>
        <v>37342.915999999997</v>
      </c>
      <c r="AJ87" s="145"/>
      <c r="AK87" s="110" t="s">
        <v>300</v>
      </c>
      <c r="AL87" s="490" t="s">
        <v>301</v>
      </c>
      <c r="AM87" s="491"/>
      <c r="AN87" s="491"/>
      <c r="AO87" s="159">
        <f t="shared" si="85"/>
        <v>24310.165408805031</v>
      </c>
      <c r="AP87" s="159">
        <f t="shared" si="86"/>
        <v>2816.7976470588237</v>
      </c>
      <c r="AQ87" s="159">
        <f t="shared" si="87"/>
        <v>1244.7638666666667</v>
      </c>
    </row>
    <row r="88" spans="1:43">
      <c r="A88" s="145"/>
      <c r="B88" s="111" t="s">
        <v>20</v>
      </c>
      <c r="C88" s="490" t="s">
        <v>302</v>
      </c>
      <c r="D88" s="491"/>
      <c r="E88" s="491"/>
      <c r="F88" s="149">
        <f t="shared" si="100"/>
        <v>0</v>
      </c>
      <c r="G88" s="149">
        <f t="shared" si="101"/>
        <v>0</v>
      </c>
      <c r="H88" s="149">
        <f t="shared" si="102"/>
        <v>0</v>
      </c>
      <c r="I88" s="149">
        <f t="shared" si="103"/>
        <v>0</v>
      </c>
      <c r="J88" s="149">
        <f t="shared" si="104"/>
        <v>91.238</v>
      </c>
      <c r="K88" s="149">
        <f t="shared" si="105"/>
        <v>101.745</v>
      </c>
      <c r="L88" s="101">
        <f t="shared" si="106"/>
        <v>0</v>
      </c>
      <c r="M88" s="101">
        <f t="shared" si="107"/>
        <v>0</v>
      </c>
      <c r="N88" s="101">
        <f t="shared" si="108"/>
        <v>0</v>
      </c>
      <c r="O88" s="101">
        <f t="shared" si="109"/>
        <v>0</v>
      </c>
      <c r="P88" s="101">
        <f t="shared" si="110"/>
        <v>6.5169999999999995</v>
      </c>
      <c r="Q88" s="101">
        <f t="shared" si="111"/>
        <v>13.923</v>
      </c>
      <c r="R88" s="101">
        <f t="shared" si="112"/>
        <v>0</v>
      </c>
      <c r="S88" s="101">
        <f t="shared" si="113"/>
        <v>0</v>
      </c>
      <c r="T88" s="101">
        <f t="shared" si="114"/>
        <v>0</v>
      </c>
      <c r="U88" s="101">
        <f t="shared" si="115"/>
        <v>0</v>
      </c>
      <c r="V88" s="101">
        <f t="shared" si="116"/>
        <v>189.67899999999997</v>
      </c>
      <c r="W88" s="150">
        <f t="shared" si="117"/>
        <v>70.329000000000008</v>
      </c>
      <c r="Z88" s="145"/>
      <c r="AA88" s="111" t="s">
        <v>20</v>
      </c>
      <c r="AB88" s="490" t="s">
        <v>302</v>
      </c>
      <c r="AC88" s="491"/>
      <c r="AD88" s="491"/>
      <c r="AE88" s="34">
        <f t="shared" si="99"/>
        <v>192.983</v>
      </c>
      <c r="AF88" s="34">
        <f t="shared" si="83"/>
        <v>20.439999999999998</v>
      </c>
      <c r="AG88" s="34">
        <f t="shared" si="84"/>
        <v>260.00799999999998</v>
      </c>
      <c r="AJ88" s="145"/>
      <c r="AK88" s="111" t="s">
        <v>20</v>
      </c>
      <c r="AL88" s="490" t="s">
        <v>302</v>
      </c>
      <c r="AM88" s="491"/>
      <c r="AN88" s="491"/>
      <c r="AO88" s="159">
        <f t="shared" si="85"/>
        <v>121.37295597484277</v>
      </c>
      <c r="AP88" s="159">
        <f t="shared" si="86"/>
        <v>12.023529411764704</v>
      </c>
      <c r="AQ88" s="159">
        <f t="shared" si="87"/>
        <v>8.6669333333333327</v>
      </c>
    </row>
    <row r="89" spans="1:43">
      <c r="A89" s="145"/>
      <c r="B89" s="111" t="s">
        <v>19</v>
      </c>
      <c r="C89" s="490" t="s">
        <v>303</v>
      </c>
      <c r="D89" s="491"/>
      <c r="E89" s="491"/>
      <c r="F89" s="149">
        <f t="shared" si="100"/>
        <v>0</v>
      </c>
      <c r="G89" s="149">
        <f t="shared" si="101"/>
        <v>0</v>
      </c>
      <c r="H89" s="149">
        <f t="shared" si="102"/>
        <v>0</v>
      </c>
      <c r="I89" s="149">
        <f t="shared" si="103"/>
        <v>0</v>
      </c>
      <c r="J89" s="149">
        <f t="shared" si="104"/>
        <v>161.46200000000002</v>
      </c>
      <c r="K89" s="149">
        <f t="shared" si="105"/>
        <v>2142.3450000000003</v>
      </c>
      <c r="L89" s="101">
        <f t="shared" si="106"/>
        <v>0</v>
      </c>
      <c r="M89" s="101">
        <f t="shared" si="107"/>
        <v>0</v>
      </c>
      <c r="N89" s="101">
        <f t="shared" si="108"/>
        <v>0</v>
      </c>
      <c r="O89" s="101">
        <f t="shared" si="109"/>
        <v>0</v>
      </c>
      <c r="P89" s="101">
        <f t="shared" si="110"/>
        <v>11.532999999999999</v>
      </c>
      <c r="Q89" s="101">
        <f t="shared" si="111"/>
        <v>293.16300000000001</v>
      </c>
      <c r="R89" s="101">
        <f t="shared" si="112"/>
        <v>0</v>
      </c>
      <c r="S89" s="101">
        <f t="shared" si="113"/>
        <v>0</v>
      </c>
      <c r="T89" s="101">
        <f t="shared" si="114"/>
        <v>0</v>
      </c>
      <c r="U89" s="101">
        <f t="shared" si="115"/>
        <v>0</v>
      </c>
      <c r="V89" s="101">
        <f t="shared" si="116"/>
        <v>335.67099999999994</v>
      </c>
      <c r="W89" s="150">
        <f t="shared" si="117"/>
        <v>1480.8490000000002</v>
      </c>
      <c r="Z89" s="145"/>
      <c r="AA89" s="111" t="s">
        <v>19</v>
      </c>
      <c r="AB89" s="490" t="s">
        <v>303</v>
      </c>
      <c r="AC89" s="491"/>
      <c r="AD89" s="491"/>
      <c r="AE89" s="34">
        <f t="shared" si="99"/>
        <v>2303.8070000000002</v>
      </c>
      <c r="AF89" s="34">
        <f t="shared" si="83"/>
        <v>304.69600000000003</v>
      </c>
      <c r="AG89" s="34">
        <f t="shared" si="84"/>
        <v>1816.52</v>
      </c>
      <c r="AJ89" s="145"/>
      <c r="AK89" s="111" t="s">
        <v>19</v>
      </c>
      <c r="AL89" s="490" t="s">
        <v>303</v>
      </c>
      <c r="AM89" s="491"/>
      <c r="AN89" s="491"/>
      <c r="AO89" s="159">
        <f t="shared" si="85"/>
        <v>1448.9352201257861</v>
      </c>
      <c r="AP89" s="159">
        <f t="shared" si="86"/>
        <v>179.2329411764706</v>
      </c>
      <c r="AQ89" s="159">
        <f t="shared" si="87"/>
        <v>60.550666666666665</v>
      </c>
    </row>
    <row r="90" spans="1:43" ht="16.5" customHeight="1">
      <c r="A90" s="145"/>
      <c r="B90" s="112"/>
      <c r="C90" s="490" t="s">
        <v>304</v>
      </c>
      <c r="D90" s="491"/>
      <c r="E90" s="491"/>
      <c r="F90" s="149">
        <f t="shared" si="100"/>
        <v>0</v>
      </c>
      <c r="G90" s="149">
        <f t="shared" si="101"/>
        <v>0</v>
      </c>
      <c r="H90" s="149">
        <f t="shared" si="102"/>
        <v>0</v>
      </c>
      <c r="I90" s="149">
        <f t="shared" si="103"/>
        <v>0</v>
      </c>
      <c r="J90" s="149">
        <f t="shared" si="104"/>
        <v>14.896000000000001</v>
      </c>
      <c r="K90" s="149">
        <f t="shared" si="105"/>
        <v>0</v>
      </c>
      <c r="L90" s="101">
        <f t="shared" si="106"/>
        <v>0</v>
      </c>
      <c r="M90" s="101">
        <f t="shared" si="107"/>
        <v>0</v>
      </c>
      <c r="N90" s="101">
        <f t="shared" si="108"/>
        <v>0</v>
      </c>
      <c r="O90" s="101">
        <f t="shared" si="109"/>
        <v>0</v>
      </c>
      <c r="P90" s="101">
        <f t="shared" si="110"/>
        <v>1.0640000000000001</v>
      </c>
      <c r="Q90" s="101">
        <f t="shared" si="111"/>
        <v>0</v>
      </c>
      <c r="R90" s="101">
        <f t="shared" si="112"/>
        <v>0</v>
      </c>
      <c r="S90" s="101">
        <f t="shared" si="113"/>
        <v>0</v>
      </c>
      <c r="T90" s="101">
        <f t="shared" si="114"/>
        <v>0</v>
      </c>
      <c r="U90" s="101">
        <f t="shared" si="115"/>
        <v>0</v>
      </c>
      <c r="V90" s="101">
        <f t="shared" si="116"/>
        <v>30.967999999999996</v>
      </c>
      <c r="W90" s="150">
        <f t="shared" si="117"/>
        <v>0</v>
      </c>
      <c r="Z90" s="145"/>
      <c r="AA90" s="112"/>
      <c r="AB90" s="490" t="s">
        <v>304</v>
      </c>
      <c r="AC90" s="491"/>
      <c r="AD90" s="491"/>
      <c r="AE90" s="34">
        <f>SUM(F90:K90)</f>
        <v>14.896000000000001</v>
      </c>
      <c r="AF90" s="34">
        <f t="shared" si="83"/>
        <v>1.0640000000000001</v>
      </c>
      <c r="AG90" s="34">
        <f t="shared" si="84"/>
        <v>30.967999999999996</v>
      </c>
      <c r="AJ90" s="145"/>
      <c r="AK90" s="112"/>
      <c r="AL90" s="490" t="s">
        <v>304</v>
      </c>
      <c r="AM90" s="491"/>
      <c r="AN90" s="491"/>
      <c r="AO90" s="159">
        <f t="shared" si="85"/>
        <v>9.3685534591194966</v>
      </c>
      <c r="AP90" s="159">
        <f t="shared" si="86"/>
        <v>0.62588235294117656</v>
      </c>
      <c r="AQ90" s="159">
        <f t="shared" si="87"/>
        <v>1.0322666666666664</v>
      </c>
    </row>
    <row r="91" spans="1:43" ht="17.25" customHeight="1">
      <c r="A91" s="145"/>
      <c r="B91" s="112"/>
      <c r="C91" s="490" t="s">
        <v>305</v>
      </c>
      <c r="D91" s="491"/>
      <c r="E91" s="491"/>
      <c r="F91" s="149">
        <f t="shared" si="100"/>
        <v>0</v>
      </c>
      <c r="G91" s="149">
        <f t="shared" si="101"/>
        <v>0</v>
      </c>
      <c r="H91" s="149">
        <f t="shared" si="102"/>
        <v>0</v>
      </c>
      <c r="I91" s="149">
        <f t="shared" si="103"/>
        <v>0</v>
      </c>
      <c r="J91" s="149">
        <f t="shared" si="104"/>
        <v>46.018000000000001</v>
      </c>
      <c r="K91" s="149">
        <f t="shared" si="105"/>
        <v>625.86</v>
      </c>
      <c r="L91" s="101">
        <f t="shared" si="106"/>
        <v>0</v>
      </c>
      <c r="M91" s="101">
        <f t="shared" si="107"/>
        <v>0</v>
      </c>
      <c r="N91" s="101">
        <f t="shared" si="108"/>
        <v>0</v>
      </c>
      <c r="O91" s="101">
        <f t="shared" si="109"/>
        <v>0</v>
      </c>
      <c r="P91" s="101">
        <f t="shared" si="110"/>
        <v>3.2869999999999999</v>
      </c>
      <c r="Q91" s="101">
        <f t="shared" si="111"/>
        <v>85.644000000000005</v>
      </c>
      <c r="R91" s="101">
        <f t="shared" si="112"/>
        <v>0</v>
      </c>
      <c r="S91" s="101">
        <f t="shared" si="113"/>
        <v>0</v>
      </c>
      <c r="T91" s="101">
        <f t="shared" si="114"/>
        <v>0</v>
      </c>
      <c r="U91" s="101">
        <f t="shared" si="115"/>
        <v>0</v>
      </c>
      <c r="V91" s="101">
        <f t="shared" si="116"/>
        <v>95.668999999999983</v>
      </c>
      <c r="W91" s="150">
        <f t="shared" si="117"/>
        <v>432.61200000000002</v>
      </c>
      <c r="Z91" s="145"/>
      <c r="AA91" s="112"/>
      <c r="AB91" s="490" t="s">
        <v>305</v>
      </c>
      <c r="AC91" s="491"/>
      <c r="AD91" s="491"/>
      <c r="AE91" s="34">
        <f t="shared" si="99"/>
        <v>671.87800000000004</v>
      </c>
      <c r="AF91" s="34">
        <f t="shared" si="83"/>
        <v>88.931000000000012</v>
      </c>
      <c r="AG91" s="34">
        <f t="shared" si="84"/>
        <v>528.28099999999995</v>
      </c>
      <c r="AJ91" s="145"/>
      <c r="AK91" s="112"/>
      <c r="AL91" s="490" t="s">
        <v>305</v>
      </c>
      <c r="AM91" s="491"/>
      <c r="AN91" s="491"/>
      <c r="AO91" s="159">
        <f t="shared" si="85"/>
        <v>422.56477987421385</v>
      </c>
      <c r="AP91" s="159">
        <f t="shared" si="86"/>
        <v>52.312352941176478</v>
      </c>
      <c r="AQ91" s="159">
        <f t="shared" si="87"/>
        <v>17.609366666666666</v>
      </c>
    </row>
    <row r="92" spans="1:43" ht="17.5" thickBot="1">
      <c r="A92" s="146"/>
      <c r="B92" s="147"/>
      <c r="C92" s="492" t="s">
        <v>47</v>
      </c>
      <c r="D92" s="493"/>
      <c r="E92" s="493"/>
      <c r="F92" s="151">
        <f t="shared" si="100"/>
        <v>0</v>
      </c>
      <c r="G92" s="151">
        <f t="shared" si="101"/>
        <v>0</v>
      </c>
      <c r="H92" s="151">
        <f t="shared" si="102"/>
        <v>0</v>
      </c>
      <c r="I92" s="151">
        <f t="shared" si="103"/>
        <v>0</v>
      </c>
      <c r="J92" s="151">
        <f t="shared" si="104"/>
        <v>3987.0740000000001</v>
      </c>
      <c r="K92" s="151">
        <f t="shared" si="105"/>
        <v>13059.840000000002</v>
      </c>
      <c r="L92" s="152">
        <f t="shared" si="106"/>
        <v>0</v>
      </c>
      <c r="M92" s="152">
        <f t="shared" si="107"/>
        <v>0</v>
      </c>
      <c r="N92" s="152">
        <f t="shared" si="108"/>
        <v>0</v>
      </c>
      <c r="O92" s="152">
        <f t="shared" si="109"/>
        <v>0</v>
      </c>
      <c r="P92" s="152">
        <f t="shared" si="110"/>
        <v>284.791</v>
      </c>
      <c r="Q92" s="152">
        <f t="shared" si="111"/>
        <v>1787.136</v>
      </c>
      <c r="R92" s="152">
        <f t="shared" si="112"/>
        <v>0</v>
      </c>
      <c r="S92" s="152">
        <f t="shared" si="113"/>
        <v>0</v>
      </c>
      <c r="T92" s="152">
        <f t="shared" si="114"/>
        <v>0</v>
      </c>
      <c r="U92" s="152">
        <f t="shared" si="115"/>
        <v>0</v>
      </c>
      <c r="V92" s="152">
        <f t="shared" si="116"/>
        <v>8288.9169999999995</v>
      </c>
      <c r="W92" s="153">
        <f>K54*U$24</f>
        <v>9027.3279999999995</v>
      </c>
      <c r="Z92" s="146"/>
      <c r="AA92" s="147"/>
      <c r="AB92" s="492" t="s">
        <v>47</v>
      </c>
      <c r="AC92" s="493"/>
      <c r="AD92" s="493"/>
      <c r="AE92" s="34">
        <f t="shared" si="99"/>
        <v>17046.914000000001</v>
      </c>
      <c r="AF92" s="34">
        <f t="shared" si="83"/>
        <v>2071.9270000000001</v>
      </c>
      <c r="AG92" s="34">
        <f t="shared" si="84"/>
        <v>17316.244999999999</v>
      </c>
      <c r="AJ92" s="146"/>
      <c r="AK92" s="147"/>
      <c r="AL92" s="492" t="s">
        <v>47</v>
      </c>
      <c r="AM92" s="493"/>
      <c r="AN92" s="493"/>
      <c r="AO92" s="159">
        <f t="shared" si="85"/>
        <v>10721.329559748428</v>
      </c>
      <c r="AP92" s="159">
        <f t="shared" si="86"/>
        <v>1218.7805882352943</v>
      </c>
      <c r="AQ92" s="159">
        <f t="shared" si="87"/>
        <v>577.20816666666667</v>
      </c>
    </row>
  </sheetData>
  <mergeCells count="174">
    <mergeCell ref="D39:E39"/>
    <mergeCell ref="D40:E40"/>
    <mergeCell ref="D41:E41"/>
    <mergeCell ref="C48:E48"/>
    <mergeCell ref="A17:E18"/>
    <mergeCell ref="F17:H17"/>
    <mergeCell ref="L17:L18"/>
    <mergeCell ref="A19:A36"/>
    <mergeCell ref="B19:E19"/>
    <mergeCell ref="D21:E21"/>
    <mergeCell ref="D22:E22"/>
    <mergeCell ref="C32:E32"/>
    <mergeCell ref="C38:E38"/>
    <mergeCell ref="C30:E30"/>
    <mergeCell ref="C36:E36"/>
    <mergeCell ref="C20:E20"/>
    <mergeCell ref="D23:E23"/>
    <mergeCell ref="AD50:AE51"/>
    <mergeCell ref="AF50:AG50"/>
    <mergeCell ref="AF51:AG51"/>
    <mergeCell ref="C54:E54"/>
    <mergeCell ref="A10:B10"/>
    <mergeCell ref="A11:A12"/>
    <mergeCell ref="AC35:AG35"/>
    <mergeCell ref="AC36:AC43"/>
    <mergeCell ref="AF39:AG39"/>
    <mergeCell ref="AF40:AG40"/>
    <mergeCell ref="AF41:AG41"/>
    <mergeCell ref="D42:D44"/>
    <mergeCell ref="C49:E49"/>
    <mergeCell ref="C50:E50"/>
    <mergeCell ref="C51:E51"/>
    <mergeCell ref="C52:E52"/>
    <mergeCell ref="C53:E53"/>
    <mergeCell ref="D24:D26"/>
    <mergeCell ref="C31:E31"/>
    <mergeCell ref="C33:E33"/>
    <mergeCell ref="C34:E34"/>
    <mergeCell ref="C35:E35"/>
    <mergeCell ref="A37:A54"/>
    <mergeCell ref="B37:E37"/>
    <mergeCell ref="U79:U80"/>
    <mergeCell ref="V79:V80"/>
    <mergeCell ref="W79:W80"/>
    <mergeCell ref="AC63:AD63"/>
    <mergeCell ref="W61:W62"/>
    <mergeCell ref="C74:E74"/>
    <mergeCell ref="C68:E68"/>
    <mergeCell ref="C69:E69"/>
    <mergeCell ref="C70:E70"/>
    <mergeCell ref="C71:E71"/>
    <mergeCell ref="C72:E72"/>
    <mergeCell ref="C73:E73"/>
    <mergeCell ref="A61:E62"/>
    <mergeCell ref="D63:E63"/>
    <mergeCell ref="D64:D65"/>
    <mergeCell ref="AB71:AD71"/>
    <mergeCell ref="AB72:AD72"/>
    <mergeCell ref="P18:U18"/>
    <mergeCell ref="X18:AC18"/>
    <mergeCell ref="AJ17:AJ21"/>
    <mergeCell ref="AK17:AR17"/>
    <mergeCell ref="AS17:AZ17"/>
    <mergeCell ref="AK18:AP18"/>
    <mergeCell ref="AQ18:AR19"/>
    <mergeCell ref="AS18:AX18"/>
    <mergeCell ref="AY18:AZ19"/>
    <mergeCell ref="AK19:AN19"/>
    <mergeCell ref="AC20:AC21"/>
    <mergeCell ref="AD20:AD21"/>
    <mergeCell ref="AE20:AE21"/>
    <mergeCell ref="P19:S19"/>
    <mergeCell ref="T19:U19"/>
    <mergeCell ref="X19:AA19"/>
    <mergeCell ref="AB19:AC19"/>
    <mergeCell ref="X17:AE17"/>
    <mergeCell ref="V18:W19"/>
    <mergeCell ref="AD18:AE19"/>
    <mergeCell ref="S20:S21"/>
    <mergeCell ref="T20:T21"/>
    <mergeCell ref="U20:U21"/>
    <mergeCell ref="V20:V21"/>
    <mergeCell ref="AO19:AP19"/>
    <mergeCell ref="AS19:AV19"/>
    <mergeCell ref="AW19:AX19"/>
    <mergeCell ref="AN20:AN21"/>
    <mergeCell ref="AO20:AO21"/>
    <mergeCell ref="AP20:AP21"/>
    <mergeCell ref="AQ20:AQ21"/>
    <mergeCell ref="AR20:AR21"/>
    <mergeCell ref="AV20:AV21"/>
    <mergeCell ref="AW20:AW21"/>
    <mergeCell ref="AX20:AX21"/>
    <mergeCell ref="AY20:AY21"/>
    <mergeCell ref="AZ20:AZ21"/>
    <mergeCell ref="I61:I62"/>
    <mergeCell ref="O61:O62"/>
    <mergeCell ref="U61:U62"/>
    <mergeCell ref="J61:J62"/>
    <mergeCell ref="K61:K62"/>
    <mergeCell ref="P61:P62"/>
    <mergeCell ref="Q61:Q62"/>
    <mergeCell ref="W20:W21"/>
    <mergeCell ref="AA20:AA21"/>
    <mergeCell ref="AB20:AB21"/>
    <mergeCell ref="O17:O21"/>
    <mergeCell ref="P17:W17"/>
    <mergeCell ref="F60:K60"/>
    <mergeCell ref="V61:V62"/>
    <mergeCell ref="AD42:AE43"/>
    <mergeCell ref="AF42:AG42"/>
    <mergeCell ref="AF43:AG43"/>
    <mergeCell ref="AC44:AC51"/>
    <mergeCell ref="AF47:AG47"/>
    <mergeCell ref="AF48:AG48"/>
    <mergeCell ref="AF49:AG49"/>
    <mergeCell ref="AJ61:AN62"/>
    <mergeCell ref="D81:E81"/>
    <mergeCell ref="D82:D83"/>
    <mergeCell ref="C92:E92"/>
    <mergeCell ref="Z61:AD62"/>
    <mergeCell ref="L60:Q60"/>
    <mergeCell ref="R60:W60"/>
    <mergeCell ref="F78:K78"/>
    <mergeCell ref="L78:Q78"/>
    <mergeCell ref="R78:W78"/>
    <mergeCell ref="A79:E80"/>
    <mergeCell ref="I79:I80"/>
    <mergeCell ref="J79:J80"/>
    <mergeCell ref="K79:K80"/>
    <mergeCell ref="O79:O80"/>
    <mergeCell ref="C90:E90"/>
    <mergeCell ref="C91:E91"/>
    <mergeCell ref="P79:P80"/>
    <mergeCell ref="C86:E86"/>
    <mergeCell ref="C87:E87"/>
    <mergeCell ref="C88:E88"/>
    <mergeCell ref="C89:E89"/>
    <mergeCell ref="Q79:Q80"/>
    <mergeCell ref="AB91:AD91"/>
    <mergeCell ref="AB92:AD92"/>
    <mergeCell ref="AM63:AN63"/>
    <mergeCell ref="AM64:AM65"/>
    <mergeCell ref="AL68:AN68"/>
    <mergeCell ref="AL69:AN69"/>
    <mergeCell ref="AL70:AN70"/>
    <mergeCell ref="AL71:AN71"/>
    <mergeCell ref="AL72:AN72"/>
    <mergeCell ref="AC82:AC83"/>
    <mergeCell ref="AB86:AD86"/>
    <mergeCell ref="AB87:AD87"/>
    <mergeCell ref="AB88:AD88"/>
    <mergeCell ref="AB89:AD89"/>
    <mergeCell ref="AB90:AD90"/>
    <mergeCell ref="AC81:AD81"/>
    <mergeCell ref="AB73:AD73"/>
    <mergeCell ref="AB74:AD74"/>
    <mergeCell ref="Z79:AD80"/>
    <mergeCell ref="AC64:AC65"/>
    <mergeCell ref="AB68:AD68"/>
    <mergeCell ref="AB69:AD69"/>
    <mergeCell ref="AB70:AD70"/>
    <mergeCell ref="AL87:AN87"/>
    <mergeCell ref="AL88:AN88"/>
    <mergeCell ref="AL89:AN89"/>
    <mergeCell ref="AL90:AN90"/>
    <mergeCell ref="AL91:AN91"/>
    <mergeCell ref="AL92:AN92"/>
    <mergeCell ref="AL73:AN73"/>
    <mergeCell ref="AL74:AN74"/>
    <mergeCell ref="AJ79:AN80"/>
    <mergeCell ref="AM81:AN81"/>
    <mergeCell ref="AM82:AM83"/>
    <mergeCell ref="AL86:AN86"/>
  </mergeCells>
  <phoneticPr fontId="2" type="noConversion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8"/>
  <sheetViews>
    <sheetView workbookViewId="0">
      <selection activeCell="G18" sqref="G18"/>
    </sheetView>
  </sheetViews>
  <sheetFormatPr defaultRowHeight="17"/>
  <cols>
    <col min="1" max="1" width="33.08203125" customWidth="1"/>
    <col min="2" max="14" width="8.83203125" customWidth="1"/>
  </cols>
  <sheetData>
    <row r="1" spans="1:26">
      <c r="A1" s="32" t="s">
        <v>243</v>
      </c>
      <c r="B1" t="s">
        <v>400</v>
      </c>
      <c r="V1" s="32" t="s">
        <v>242</v>
      </c>
      <c r="W1" t="s">
        <v>241</v>
      </c>
    </row>
    <row r="2" spans="1:26">
      <c r="B2" t="s">
        <v>153</v>
      </c>
      <c r="C2" t="s">
        <v>399</v>
      </c>
      <c r="W2" t="s">
        <v>239</v>
      </c>
    </row>
    <row r="3" spans="1:26">
      <c r="B3" t="s">
        <v>401</v>
      </c>
      <c r="W3" t="s">
        <v>238</v>
      </c>
    </row>
    <row r="5" spans="1:26">
      <c r="A5" t="s">
        <v>402</v>
      </c>
    </row>
    <row r="6" spans="1:26" ht="17.5" thickBot="1">
      <c r="A6" s="32" t="s">
        <v>408</v>
      </c>
      <c r="N6" t="s">
        <v>411</v>
      </c>
      <c r="T6" t="s">
        <v>422</v>
      </c>
    </row>
    <row r="7" spans="1:26" ht="18" thickTop="1" thickBot="1">
      <c r="B7" s="659" t="s">
        <v>156</v>
      </c>
      <c r="C7" s="659"/>
      <c r="D7" s="659" t="s">
        <v>157</v>
      </c>
      <c r="E7" s="659"/>
      <c r="F7" s="659" t="s">
        <v>158</v>
      </c>
      <c r="G7" s="659"/>
      <c r="H7" s="659" t="s">
        <v>403</v>
      </c>
      <c r="I7" s="659"/>
      <c r="J7" s="659" t="s">
        <v>246</v>
      </c>
      <c r="K7" s="659"/>
      <c r="L7" s="659" t="s">
        <v>11</v>
      </c>
      <c r="M7" s="659"/>
      <c r="N7" s="659"/>
      <c r="T7" s="472" t="s">
        <v>421</v>
      </c>
      <c r="U7" s="473"/>
      <c r="V7" s="474"/>
      <c r="W7" s="173" t="s">
        <v>156</v>
      </c>
      <c r="X7" s="174" t="s">
        <v>157</v>
      </c>
      <c r="Y7" t="s">
        <v>423</v>
      </c>
      <c r="Z7" t="s">
        <v>424</v>
      </c>
    </row>
    <row r="8" spans="1:26" ht="24.5" thickTop="1">
      <c r="B8" s="169" t="s">
        <v>404</v>
      </c>
      <c r="C8" s="169" t="s">
        <v>41</v>
      </c>
      <c r="D8" s="169" t="s">
        <v>404</v>
      </c>
      <c r="E8" s="169" t="s">
        <v>41</v>
      </c>
      <c r="F8" s="169" t="s">
        <v>404</v>
      </c>
      <c r="G8" s="169" t="s">
        <v>41</v>
      </c>
      <c r="H8" s="169" t="s">
        <v>404</v>
      </c>
      <c r="I8" s="169" t="s">
        <v>41</v>
      </c>
      <c r="J8" s="169" t="s">
        <v>404</v>
      </c>
      <c r="K8" s="169" t="s">
        <v>41</v>
      </c>
      <c r="L8" s="169" t="s">
        <v>404</v>
      </c>
      <c r="M8" s="169" t="s">
        <v>41</v>
      </c>
      <c r="N8" s="169" t="s">
        <v>405</v>
      </c>
      <c r="T8" s="475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</row>
    <row r="9" spans="1:26" ht="32">
      <c r="A9" s="165" t="s">
        <v>409</v>
      </c>
      <c r="B9" s="171">
        <v>3432</v>
      </c>
      <c r="C9" s="171">
        <v>3432</v>
      </c>
      <c r="D9" s="172">
        <v>642</v>
      </c>
      <c r="E9" s="172">
        <v>642</v>
      </c>
      <c r="F9" s="171">
        <v>1989</v>
      </c>
      <c r="G9" s="171">
        <v>1989</v>
      </c>
      <c r="H9" s="171">
        <v>2313</v>
      </c>
      <c r="I9" s="171">
        <v>2313</v>
      </c>
      <c r="J9" s="172">
        <v>796</v>
      </c>
      <c r="K9" s="172">
        <v>796</v>
      </c>
      <c r="L9" s="171">
        <v>9172</v>
      </c>
      <c r="M9" s="171">
        <v>9172</v>
      </c>
      <c r="N9" s="171">
        <v>18344</v>
      </c>
      <c r="T9" s="466"/>
      <c r="U9" s="176" t="s">
        <v>415</v>
      </c>
      <c r="V9" s="180" t="s">
        <v>10</v>
      </c>
      <c r="W9" s="167">
        <v>2.25</v>
      </c>
      <c r="X9" s="168">
        <v>2.09</v>
      </c>
    </row>
    <row r="10" spans="1:26" ht="26">
      <c r="A10" s="165" t="s">
        <v>406</v>
      </c>
      <c r="B10" s="171">
        <v>1225</v>
      </c>
      <c r="C10" s="171">
        <v>1225</v>
      </c>
      <c r="D10" s="172">
        <v>864</v>
      </c>
      <c r="E10" s="172">
        <v>864</v>
      </c>
      <c r="F10" s="171">
        <v>3697</v>
      </c>
      <c r="G10" s="171">
        <v>3697</v>
      </c>
      <c r="H10" s="171">
        <v>1623</v>
      </c>
      <c r="I10" s="171">
        <v>1623</v>
      </c>
      <c r="J10" s="171">
        <v>1291</v>
      </c>
      <c r="K10" s="171">
        <v>1291</v>
      </c>
      <c r="L10" s="171">
        <v>8700</v>
      </c>
      <c r="M10" s="171">
        <v>8700</v>
      </c>
      <c r="N10" s="171">
        <v>17400</v>
      </c>
      <c r="T10" s="466"/>
      <c r="U10" s="181" t="s">
        <v>168</v>
      </c>
      <c r="V10" s="468" t="s">
        <v>10</v>
      </c>
      <c r="W10" s="470">
        <v>1.55</v>
      </c>
      <c r="X10" s="461">
        <v>1</v>
      </c>
    </row>
    <row r="11" spans="1:26" ht="39">
      <c r="A11" s="165" t="s">
        <v>407</v>
      </c>
      <c r="B11" s="171">
        <v>1671</v>
      </c>
      <c r="C11" s="171">
        <v>1671</v>
      </c>
      <c r="D11" s="172">
        <v>280</v>
      </c>
      <c r="E11" s="172">
        <v>280</v>
      </c>
      <c r="F11" s="172">
        <v>857</v>
      </c>
      <c r="G11" s="172">
        <v>857</v>
      </c>
      <c r="H11" s="171">
        <v>1025</v>
      </c>
      <c r="I11" s="171">
        <v>1025</v>
      </c>
      <c r="J11" s="172">
        <v>380</v>
      </c>
      <c r="K11" s="172">
        <v>380</v>
      </c>
      <c r="L11" s="171">
        <v>4213</v>
      </c>
      <c r="M11" s="171">
        <v>4213</v>
      </c>
      <c r="N11" s="171">
        <v>8426</v>
      </c>
      <c r="T11" s="466"/>
      <c r="U11" s="176" t="s">
        <v>416</v>
      </c>
      <c r="V11" s="469"/>
      <c r="W11" s="471"/>
      <c r="X11" s="462"/>
    </row>
    <row r="12" spans="1:26" ht="34">
      <c r="A12" s="165" t="s">
        <v>410</v>
      </c>
      <c r="B12" s="171">
        <v>2896</v>
      </c>
      <c r="C12" s="171">
        <v>2896</v>
      </c>
      <c r="D12" s="171">
        <v>1144</v>
      </c>
      <c r="E12" s="171">
        <v>1144</v>
      </c>
      <c r="F12" s="171">
        <v>4554</v>
      </c>
      <c r="G12" s="171">
        <v>4554</v>
      </c>
      <c r="H12" s="171">
        <v>2648</v>
      </c>
      <c r="I12" s="171">
        <v>2648</v>
      </c>
      <c r="J12" s="171">
        <v>1671</v>
      </c>
      <c r="K12" s="171">
        <v>1671</v>
      </c>
      <c r="L12" s="171">
        <v>12913</v>
      </c>
      <c r="M12" s="171">
        <v>12913</v>
      </c>
      <c r="N12" s="171">
        <v>25826</v>
      </c>
      <c r="T12" s="466"/>
      <c r="U12" s="181" t="s">
        <v>168</v>
      </c>
      <c r="V12" s="180" t="s">
        <v>9</v>
      </c>
      <c r="W12" s="167">
        <v>1.1599999999999999</v>
      </c>
      <c r="X12" s="168">
        <v>1</v>
      </c>
    </row>
    <row r="13" spans="1:26" ht="29">
      <c r="A13" s="164"/>
      <c r="T13" s="466"/>
      <c r="U13" s="176" t="s">
        <v>417</v>
      </c>
      <c r="V13" s="180" t="s">
        <v>10</v>
      </c>
      <c r="W13" s="167">
        <v>1.57</v>
      </c>
      <c r="X13" s="168">
        <v>1.43</v>
      </c>
    </row>
    <row r="14" spans="1:26" ht="28">
      <c r="A14" s="166" t="s">
        <v>412</v>
      </c>
      <c r="T14" s="466"/>
      <c r="U14" s="463" t="s">
        <v>14</v>
      </c>
      <c r="V14" s="180" t="s">
        <v>9</v>
      </c>
      <c r="W14" s="167">
        <v>1.42</v>
      </c>
      <c r="X14" s="168">
        <v>1.41</v>
      </c>
    </row>
    <row r="15" spans="1:26">
      <c r="B15" s="660" t="s">
        <v>156</v>
      </c>
      <c r="C15" s="660"/>
      <c r="D15" s="660" t="s">
        <v>157</v>
      </c>
      <c r="E15" s="660"/>
      <c r="F15" s="660" t="s">
        <v>425</v>
      </c>
      <c r="G15" s="660"/>
      <c r="H15" s="659" t="s">
        <v>403</v>
      </c>
      <c r="I15" s="659"/>
      <c r="J15" s="659" t="s">
        <v>246</v>
      </c>
      <c r="K15" s="659"/>
      <c r="L15" s="659" t="s">
        <v>11</v>
      </c>
      <c r="M15" s="659"/>
      <c r="N15" s="659"/>
      <c r="T15" s="466"/>
      <c r="U15" s="464"/>
      <c r="V15" s="180" t="s">
        <v>10</v>
      </c>
      <c r="W15" s="167">
        <v>1.82</v>
      </c>
      <c r="X15" s="168">
        <v>1.82</v>
      </c>
    </row>
    <row r="16" spans="1:26">
      <c r="B16" s="186" t="s">
        <v>404</v>
      </c>
      <c r="C16" s="186" t="s">
        <v>41</v>
      </c>
      <c r="D16" s="186" t="s">
        <v>404</v>
      </c>
      <c r="E16" s="186" t="s">
        <v>41</v>
      </c>
      <c r="F16" s="186" t="s">
        <v>404</v>
      </c>
      <c r="G16" s="186" t="s">
        <v>41</v>
      </c>
      <c r="H16" s="169" t="s">
        <v>404</v>
      </c>
      <c r="I16" s="169" t="s">
        <v>41</v>
      </c>
      <c r="J16" s="169" t="s">
        <v>404</v>
      </c>
      <c r="K16" s="169" t="s">
        <v>41</v>
      </c>
      <c r="L16" s="169" t="s">
        <v>404</v>
      </c>
      <c r="M16" s="169" t="s">
        <v>41</v>
      </c>
      <c r="N16" s="169" t="s">
        <v>405</v>
      </c>
      <c r="T16" s="466"/>
      <c r="U16" s="181" t="s">
        <v>418</v>
      </c>
      <c r="V16" s="180" t="s">
        <v>9</v>
      </c>
      <c r="W16" s="167">
        <v>3.1</v>
      </c>
      <c r="X16" s="168">
        <v>2.31</v>
      </c>
    </row>
    <row r="17" spans="1:24" ht="32">
      <c r="A17" s="165" t="s">
        <v>409</v>
      </c>
      <c r="B17" s="187">
        <v>1731</v>
      </c>
      <c r="C17" s="187">
        <v>1731</v>
      </c>
      <c r="D17" s="188">
        <v>452</v>
      </c>
      <c r="E17" s="188">
        <v>452</v>
      </c>
      <c r="F17" s="162">
        <f>F9/$Z$8</f>
        <v>69.086488364015281</v>
      </c>
      <c r="G17" s="162">
        <f t="shared" ref="G17:G20" si="0">G9/$Z$8</f>
        <v>69.086488364015281</v>
      </c>
      <c r="H17" s="98"/>
      <c r="I17" s="98"/>
      <c r="J17" s="98"/>
      <c r="K17" s="98"/>
      <c r="L17" s="170">
        <v>2183</v>
      </c>
      <c r="M17" s="170">
        <v>2183</v>
      </c>
      <c r="N17" s="170">
        <v>4366</v>
      </c>
      <c r="T17" s="476"/>
      <c r="U17" s="176" t="s">
        <v>419</v>
      </c>
      <c r="V17" s="180" t="s">
        <v>10</v>
      </c>
      <c r="W17" s="167">
        <v>3.1</v>
      </c>
      <c r="X17" s="168">
        <v>2.31</v>
      </c>
    </row>
    <row r="18" spans="1:24" ht="26">
      <c r="A18" s="165" t="s">
        <v>406</v>
      </c>
      <c r="B18" s="188">
        <v>544</v>
      </c>
      <c r="C18" s="188">
        <v>544</v>
      </c>
      <c r="D18" s="188">
        <v>827</v>
      </c>
      <c r="E18" s="188">
        <v>827</v>
      </c>
      <c r="F18" s="162">
        <f t="shared" ref="F18" si="1">F10/$Z$8</f>
        <v>128.41264327891631</v>
      </c>
      <c r="G18" s="162">
        <f t="shared" si="0"/>
        <v>128.41264327891631</v>
      </c>
      <c r="H18" s="98"/>
      <c r="I18" s="98"/>
      <c r="J18" s="98"/>
      <c r="K18" s="98"/>
      <c r="L18" s="170">
        <v>1371</v>
      </c>
      <c r="M18" s="170">
        <v>1371</v>
      </c>
      <c r="N18" s="170">
        <v>2742</v>
      </c>
      <c r="T18" s="465" t="s">
        <v>420</v>
      </c>
      <c r="U18" s="181" t="s">
        <v>414</v>
      </c>
      <c r="V18" s="180" t="s">
        <v>9</v>
      </c>
      <c r="W18" s="167">
        <v>2.25</v>
      </c>
      <c r="X18" s="168">
        <v>2.09</v>
      </c>
    </row>
    <row r="19" spans="1:24" ht="39">
      <c r="A19" s="165" t="s">
        <v>407</v>
      </c>
      <c r="B19" s="188">
        <v>874</v>
      </c>
      <c r="C19" s="188">
        <v>874</v>
      </c>
      <c r="D19" s="188">
        <v>188</v>
      </c>
      <c r="E19" s="188">
        <v>188</v>
      </c>
      <c r="F19" s="162">
        <f t="shared" ref="F19" si="2">F11/$Z$8</f>
        <v>29.767280305661689</v>
      </c>
      <c r="G19" s="162">
        <f t="shared" si="0"/>
        <v>29.767280305661689</v>
      </c>
      <c r="H19" s="98"/>
      <c r="I19" s="98"/>
      <c r="J19" s="98"/>
      <c r="K19" s="98"/>
      <c r="L19" s="170">
        <v>1062</v>
      </c>
      <c r="M19" s="170">
        <v>1062</v>
      </c>
      <c r="N19" s="170">
        <v>2124</v>
      </c>
      <c r="T19" s="466"/>
      <c r="U19" s="176" t="s">
        <v>415</v>
      </c>
      <c r="V19" s="180" t="s">
        <v>10</v>
      </c>
      <c r="W19" s="167">
        <v>2.25</v>
      </c>
      <c r="X19" s="168">
        <v>2.09</v>
      </c>
    </row>
    <row r="20" spans="1:24" ht="34">
      <c r="A20" s="165" t="s">
        <v>410</v>
      </c>
      <c r="B20" s="187">
        <v>1418</v>
      </c>
      <c r="C20" s="187">
        <v>1418</v>
      </c>
      <c r="D20" s="187">
        <v>1015</v>
      </c>
      <c r="E20" s="187">
        <v>1015</v>
      </c>
      <c r="F20" s="162">
        <f t="shared" ref="F20" si="3">F12/$Z$8</f>
        <v>158.17992358457798</v>
      </c>
      <c r="G20" s="162">
        <f t="shared" si="0"/>
        <v>158.17992358457798</v>
      </c>
      <c r="H20" s="98"/>
      <c r="I20" s="98"/>
      <c r="J20" s="98"/>
      <c r="K20" s="98"/>
      <c r="L20" s="170">
        <v>2433</v>
      </c>
      <c r="M20" s="170">
        <v>2433</v>
      </c>
      <c r="N20" s="170">
        <v>4866</v>
      </c>
      <c r="T20" s="466"/>
      <c r="U20" s="181" t="s">
        <v>168</v>
      </c>
      <c r="V20" s="468" t="s">
        <v>10</v>
      </c>
      <c r="W20" s="470">
        <v>1.55</v>
      </c>
      <c r="X20" s="461">
        <v>1</v>
      </c>
    </row>
    <row r="21" spans="1:24">
      <c r="T21" s="466"/>
      <c r="U21" s="176" t="s">
        <v>416</v>
      </c>
      <c r="V21" s="469"/>
      <c r="W21" s="471"/>
      <c r="X21" s="462"/>
    </row>
    <row r="22" spans="1:24">
      <c r="T22" s="466"/>
      <c r="U22" s="181" t="s">
        <v>168</v>
      </c>
      <c r="V22" s="180" t="s">
        <v>9</v>
      </c>
      <c r="W22" s="167">
        <v>1.2</v>
      </c>
      <c r="X22" s="168">
        <v>1.25</v>
      </c>
    </row>
    <row r="23" spans="1:24" ht="29">
      <c r="T23" s="466"/>
      <c r="U23" s="176" t="s">
        <v>417</v>
      </c>
      <c r="V23" s="180" t="s">
        <v>10</v>
      </c>
      <c r="W23" s="167">
        <v>1.64</v>
      </c>
      <c r="X23" s="168">
        <v>1.67</v>
      </c>
    </row>
    <row r="24" spans="1:24">
      <c r="T24" s="466"/>
      <c r="U24" s="463" t="s">
        <v>14</v>
      </c>
      <c r="V24" s="180" t="s">
        <v>9</v>
      </c>
      <c r="W24" s="167">
        <v>1.43</v>
      </c>
      <c r="X24" s="168">
        <v>1.41</v>
      </c>
    </row>
    <row r="25" spans="1:24">
      <c r="T25" s="466"/>
      <c r="U25" s="464"/>
      <c r="V25" s="180" t="s">
        <v>10</v>
      </c>
      <c r="W25" s="167">
        <v>1.96</v>
      </c>
      <c r="X25" s="168">
        <v>1.91</v>
      </c>
    </row>
    <row r="26" spans="1:24">
      <c r="T26" s="466"/>
      <c r="U26" s="181" t="s">
        <v>418</v>
      </c>
      <c r="V26" s="180" t="s">
        <v>9</v>
      </c>
      <c r="W26" s="167">
        <v>3.5</v>
      </c>
      <c r="X26" s="168">
        <v>2.02</v>
      </c>
    </row>
    <row r="27" spans="1:24" ht="17.5" thickBot="1">
      <c r="T27" s="467"/>
      <c r="U27" s="182" t="s">
        <v>419</v>
      </c>
      <c r="V27" s="183" t="s">
        <v>10</v>
      </c>
      <c r="W27" s="184">
        <v>3.5</v>
      </c>
      <c r="X27" s="185">
        <v>2.02</v>
      </c>
    </row>
    <row r="28" spans="1:24" ht="17.5" thickTop="1"/>
  </sheetData>
  <mergeCells count="23">
    <mergeCell ref="L7:N7"/>
    <mergeCell ref="B15:C15"/>
    <mergeCell ref="D15:E15"/>
    <mergeCell ref="F15:G15"/>
    <mergeCell ref="H15:I15"/>
    <mergeCell ref="J15:K15"/>
    <mergeCell ref="L15:N15"/>
    <mergeCell ref="B7:C7"/>
    <mergeCell ref="D7:E7"/>
    <mergeCell ref="F7:G7"/>
    <mergeCell ref="H7:I7"/>
    <mergeCell ref="J7:K7"/>
    <mergeCell ref="T7:V7"/>
    <mergeCell ref="T8:T17"/>
    <mergeCell ref="V10:V11"/>
    <mergeCell ref="W10:W11"/>
    <mergeCell ref="X10:X11"/>
    <mergeCell ref="U14:U15"/>
    <mergeCell ref="T18:T27"/>
    <mergeCell ref="V20:V21"/>
    <mergeCell ref="W20:W21"/>
    <mergeCell ref="X20:X21"/>
    <mergeCell ref="U24:U25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"/>
  <sheetViews>
    <sheetView workbookViewId="0">
      <selection activeCell="B3" sqref="B3"/>
    </sheetView>
  </sheetViews>
  <sheetFormatPr defaultRowHeight="17"/>
  <sheetData>
    <row r="1" spans="1:3">
      <c r="A1" s="32" t="s">
        <v>243</v>
      </c>
    </row>
    <row r="2" spans="1:3">
      <c r="B2" t="s">
        <v>153</v>
      </c>
      <c r="C2" t="s">
        <v>426</v>
      </c>
    </row>
    <row r="3" spans="1:3">
      <c r="B3" t="s">
        <v>401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A2" sqref="A2"/>
    </sheetView>
  </sheetViews>
  <sheetFormatPr defaultRowHeight="17"/>
  <cols>
    <col min="2" max="3" width="17.7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2035</v>
      </c>
      <c r="B2" s="411">
        <f>'A.일산테크노밸리(859991)_수정'!EH140</f>
        <v>11652.834249146714</v>
      </c>
      <c r="C2" s="411">
        <f>'E.관광문화단지(849301)_수정'!EQ60+'C.장항공공주택지구(849992)'!EY180+'B.고양영상밸리(849991)_수정'!EQ108</f>
        <v>18236.139909169811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89</vt:i4>
      </vt:variant>
    </vt:vector>
  </HeadingPairs>
  <TitlesOfParts>
    <vt:vector size="89" baseType="lpstr">
      <vt:lpstr>기준년도설정</vt:lpstr>
      <vt:lpstr>exptE-FD-H_pc_od_zone_O_YYMMDD</vt:lpstr>
      <vt:lpstr>exptE-FD-H_pc_od_zone_D_YYMMDD</vt:lpstr>
      <vt:lpstr>exptE-FD-H_bus_od_zone_O_YYMMDD</vt:lpstr>
      <vt:lpstr>exptE-FD-H_bus_od_zone_D_YYMMDD</vt:lpstr>
      <vt:lpstr>exptE-FD-F_fod_zone_O_YYMMDD</vt:lpstr>
      <vt:lpstr>exptE-FD-F_fod_zone_D_YYMMDD</vt:lpstr>
      <vt:lpstr>exptD-FD-H_pc_od_zone_O_YYMMDD</vt:lpstr>
      <vt:lpstr>exptD-FD-H_pc_od_zone_D_YYMMDD</vt:lpstr>
      <vt:lpstr>exptD-FD-H_bus_od_zone_O_YYMMDD</vt:lpstr>
      <vt:lpstr>exptD-FD-H_bus_od_zone_D_YYMMDD</vt:lpstr>
      <vt:lpstr>exptD-FD-F_fod_zone_O_YYMMDD</vt:lpstr>
      <vt:lpstr>exptD-FD-F_fod_zone_D_YYMMDD</vt:lpstr>
      <vt:lpstr>exptC-FD-H_pc_od_zone_O_YYMMDD</vt:lpstr>
      <vt:lpstr>exptC-FD-H_pc_od_zone_D_YYMMDD</vt:lpstr>
      <vt:lpstr>exptC-FD-H_bus_od_zone_O_YYMMDD</vt:lpstr>
      <vt:lpstr>exptC-FD-H_bus_od_zone_D_YYMMDD</vt:lpstr>
      <vt:lpstr>exptC-FD-F_fod_zone_O_YYMMDD</vt:lpstr>
      <vt:lpstr>exptC-FD-F_fod_zone_D_YYMMDD</vt:lpstr>
      <vt:lpstr>exptB-FD-H_pc_od_zone_O_YYMMDD</vt:lpstr>
      <vt:lpstr>exptB-FD-H_pc_od_zone_D_YYMMDD</vt:lpstr>
      <vt:lpstr>exptB-FD-H_bus_od_zone_O_YYMMDD</vt:lpstr>
      <vt:lpstr>exptB-FD-H_bus_od_zone_D_YYMMDD</vt:lpstr>
      <vt:lpstr>exptB-FD-F_fod_zone_O_YYMMDD</vt:lpstr>
      <vt:lpstr>exptB-FD-F_fod_zone_D_YYMMDD</vt:lpstr>
      <vt:lpstr>exptA-FD-H_pc_od_zone_O_YYMMDD</vt:lpstr>
      <vt:lpstr>exptA-FD-H_pc_od_zone_D_YYMMDD</vt:lpstr>
      <vt:lpstr>exptA-FD-H_bus_od_zone_O_YYMMDD</vt:lpstr>
      <vt:lpstr>exptA-FD-H_bus_od_zone_D_YYMMDD</vt:lpstr>
      <vt:lpstr>exptA-FD-F_fod_zone_O_YYMMDD</vt:lpstr>
      <vt:lpstr>exptA-FD-F_fod_zone_D_YYMMDD</vt:lpstr>
      <vt:lpstr>NON-FD-H_pc_od_zone_O_YYMMDD</vt:lpstr>
      <vt:lpstr>NON-FD-H_pc_od_zone_D_YYMMDD</vt:lpstr>
      <vt:lpstr>NON-FD-H_bus_od_zone_O_YYMMDD</vt:lpstr>
      <vt:lpstr>NON-FD-H_bus_od_zone_D_YYMMDD</vt:lpstr>
      <vt:lpstr>NON-FD-F_fod_zone_O_YYMMDD </vt:lpstr>
      <vt:lpstr>NON-FD-F_fod_zone_D_YYMMDD</vt:lpstr>
      <vt:lpstr>onlyA-FD-H_pc_od_zone_O_YYMMDD</vt:lpstr>
      <vt:lpstr>onlyA-FD-H_pc_od_zone_D_YYMMDD</vt:lpstr>
      <vt:lpstr>onlyA-FD-H_bus_od_zone_O_YYMMDD</vt:lpstr>
      <vt:lpstr>onlyA-FD-H_bus_od_zone_D_YYMMDD</vt:lpstr>
      <vt:lpstr>onlyA-FD-F_fod_zone_O_YYMMDD</vt:lpstr>
      <vt:lpstr>onlyA-FD-F_fod_zone_D_YYMMDD</vt:lpstr>
      <vt:lpstr>onlyB-FD-H_pc_od_zone_O_YYMMDD</vt:lpstr>
      <vt:lpstr>onlyB-FD-H_pc_od_zone_D_YYMMDD</vt:lpstr>
      <vt:lpstr>onlyB-FD-H_bus_od_zone_O_YYMMDD</vt:lpstr>
      <vt:lpstr>onlyB-FD-H_bus_od_zone_D_YYMMDD</vt:lpstr>
      <vt:lpstr>onlyB-FD-F_fod_zone_O_YYMMDD</vt:lpstr>
      <vt:lpstr>onlyB-FD-F_fod_zone_D_YYMMDD</vt:lpstr>
      <vt:lpstr>onlyC-FD-H_pc_od_zone_O_YYMMDD</vt:lpstr>
      <vt:lpstr>onlyC-FD-H_pc_od_zone_D_YYMMDD</vt:lpstr>
      <vt:lpstr>onlyC-FD-H_bus_od_zone_O_YYMMDD</vt:lpstr>
      <vt:lpstr>onlyC-FD-H_bus_od_zone_D_YYMMDD</vt:lpstr>
      <vt:lpstr>onlyC-FD-F_fod_zone_O_YYMMDD</vt:lpstr>
      <vt:lpstr>onlyC-FD-F_fod_zone_D_YYMMDD</vt:lpstr>
      <vt:lpstr>onlyD-FD-H_pc_od_zone_O_YYMMDD</vt:lpstr>
      <vt:lpstr>onlyD-FD-H_pc_od_zone_D_YYMMDD</vt:lpstr>
      <vt:lpstr>onlyD-FD-H_bus_od_zone_O_YYMMDD</vt:lpstr>
      <vt:lpstr>onlyD-FD-H_bus_od_zone_D_YYMMDD</vt:lpstr>
      <vt:lpstr>onlyD-FD-F_fod_zone_O_YYMMDD</vt:lpstr>
      <vt:lpstr>onlyD-FD-F_fod_zone_D_YYMMDD</vt:lpstr>
      <vt:lpstr>onlyE-FD-H_pc_od_zone_O_YYMMDD</vt:lpstr>
      <vt:lpstr>onlyE-FD-H_pc_od_zone_D_YYMMDD</vt:lpstr>
      <vt:lpstr>onlyE-FD-H_bus_od_zone_O_YYMMDD</vt:lpstr>
      <vt:lpstr>onlyE-FD-H_bus_od_zone_D_YYMMDD</vt:lpstr>
      <vt:lpstr>onlyE-FD-F_fod_zone_O_YYMMDD </vt:lpstr>
      <vt:lpstr>onlyE-FD-F_fod_zone_D_YYMMDD</vt:lpstr>
      <vt:lpstr>ALL-FD-H_pc_od_zone_O_YYMMDD</vt:lpstr>
      <vt:lpstr>ALL-FD-H_pc_od_zone_D_YYMMDD</vt:lpstr>
      <vt:lpstr>ALL-FD-H_bus_od_zone_O_YYMMDD</vt:lpstr>
      <vt:lpstr>ALL-FD-H_bus_od_zone_D_YYMMDD</vt:lpstr>
      <vt:lpstr>ALL-FD-F_fod_zone_O_YYMMDD</vt:lpstr>
      <vt:lpstr>ALL-FD-F_fod_zone_D_YYMMDD</vt:lpstr>
      <vt:lpstr>E.관광문화단지(849301)_수정</vt:lpstr>
      <vt:lpstr>D.cj라이브시티(849201)_수정</vt:lpstr>
      <vt:lpstr>C.장항공공주택지구(849992)</vt:lpstr>
      <vt:lpstr>B.고양영상밸리(849991)_수정</vt:lpstr>
      <vt:lpstr>A.일산테크노밸리(859991)_수정</vt:lpstr>
      <vt:lpstr>고양시_Modal_split</vt:lpstr>
      <vt:lpstr>고양시_재차인원</vt:lpstr>
      <vt:lpstr>KTDB_발생량도착량_증가율</vt:lpstr>
      <vt:lpstr>KTDB_TripDistribution_2035</vt:lpstr>
      <vt:lpstr>장항공공주택지구_통행량제외분</vt:lpstr>
      <vt:lpstr>S1</vt:lpstr>
      <vt:lpstr>일산테크노밸리</vt:lpstr>
      <vt:lpstr>고양영상밸리</vt:lpstr>
      <vt:lpstr>징힝공공주택지구</vt:lpstr>
      <vt:lpstr>cj라이브시티</vt:lpstr>
      <vt:lpstr>관광문화단지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2022-03-28T09:13:28Z</dcterms:modified>
</cp:coreProperties>
</file>